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76" yWindow="65311" windowWidth="15480" windowHeight="11640" activeTab="0"/>
  </bookViews>
  <sheets>
    <sheet name="Sheet1" sheetId="1" r:id="rId1"/>
    <sheet name="Sheet2" sheetId="2" r:id="rId2"/>
    <sheet name="Sheet3" sheetId="3" r:id="rId3"/>
  </sheets>
  <definedNames/>
  <calcPr fullCalcOnLoad="1"/>
</workbook>
</file>

<file path=xl/comments2.xml><?xml version="1.0" encoding="utf-8"?>
<comments xmlns="http://schemas.openxmlformats.org/spreadsheetml/2006/main">
  <authors>
    <author>DPols</author>
  </authors>
  <commentList>
    <comment ref="A1" authorId="0">
      <text>
        <r>
          <rPr>
            <b/>
            <sz val="8"/>
            <rFont val="Tahoma"/>
            <family val="0"/>
          </rPr>
          <t>DPols:</t>
        </r>
        <r>
          <rPr>
            <sz val="8"/>
            <rFont val="Tahoma"/>
            <family val="0"/>
          </rPr>
          <t xml:space="preserve">
relation to sheet 1?</t>
        </r>
      </text>
    </comment>
  </commentList>
</comments>
</file>

<file path=xl/sharedStrings.xml><?xml version="1.0" encoding="utf-8"?>
<sst xmlns="http://schemas.openxmlformats.org/spreadsheetml/2006/main" count="374" uniqueCount="223">
  <si>
    <t xml:space="preserve">   Reduced deforestation</t>
  </si>
  <si>
    <t xml:space="preserve">   Afforestation and reforestation</t>
  </si>
  <si>
    <t xml:space="preserve">   GEF SPA (50 mil in three years)</t>
  </si>
  <si>
    <t xml:space="preserve">   GEF LDCF (pledged) (7)</t>
  </si>
  <si>
    <t xml:space="preserve">   GEF SCCF (pledged) (7)</t>
  </si>
  <si>
    <t xml:space="preserve">   Adaptation Fund (2% of CER revenue) p.a. (1)</t>
  </si>
  <si>
    <t>Bilateral</t>
  </si>
  <si>
    <t>Bilateral</t>
  </si>
  <si>
    <t>Multilateral (UNFCCC)</t>
  </si>
  <si>
    <t>Multilateral (outside of UNFCCC)</t>
  </si>
  <si>
    <t>Based on Munich Re data</t>
  </si>
  <si>
    <t>20% additional investment</t>
  </si>
  <si>
    <t xml:space="preserve">            4) UNDPs Human Development Report 2007/2008 provides ballpark estimates of total new additional adaptation finance of USD 86 per year by 2015 (USD 44 bn/a for climate proofing, USD 40 bn/a for adapting poverty reduction to climate change and USD 2 bn/a for climate change related disaster response)</t>
  </si>
  <si>
    <t>(22) Reuters UK (2008) World Bank approves climate funds before G8 summit. Published 2 July 2008 at reuters.com (http://www.reuters.com/article/environmentNews/idUSN0131191820080701). In this article Warren Evans, director of the World Bank's environment department is quoted to have said that media reports that USD 10 billion would be raised for the fund "are on the high side".</t>
  </si>
  <si>
    <t>(23) This proposal does not scale up overall climate finance, it only increases the share of adaptation finance of the CDM revenue. The number given here is the difference to the estimates of the Adaptation Fund based on a 2% levy.</t>
  </si>
  <si>
    <t xml:space="preserve">   Pakistan Proposal to increase CDM adaptation levy to 3-5% (23)</t>
  </si>
  <si>
    <t>Supplementary Information on Additional Finance and Investment needed in 2030 based on UNFCCC (2007)</t>
  </si>
  <si>
    <t>(10) The objective of the GEF-IFC Earth Fund is to leverage private sector funding for new technologies to find solutions for climate, biodiversity loss and land degradation in developing countires (ODI, 2008).</t>
  </si>
  <si>
    <t xml:space="preserve">(21) EC ETS revision proposal suggests at least 20% of the proceeds from auctioning be used fro CCS, energy efficiency/renewable energy in developing countires, avoided deforestation efforts and adaptation in developing countries (Schmidt (2008) Financing Developing Country Mitigation and Adaptation Actions: Generating Significant and Predictable Support. Presentation Center for Clean Air Policy, UNFCCC Side-Event, Bonn, 12 June 2008.
</t>
  </si>
  <si>
    <t xml:space="preserve">   World Bank Clean Technology Fund (22)</t>
  </si>
  <si>
    <t xml:space="preserve">   Australia and New Zealand</t>
  </si>
  <si>
    <t>Waste (p.70)</t>
  </si>
  <si>
    <t xml:space="preserve">   Non-CO2 gases</t>
  </si>
  <si>
    <t xml:space="preserve">   Agroforestry (removal by sinks)</t>
  </si>
  <si>
    <t xml:space="preserve">   Grassland management</t>
  </si>
  <si>
    <t>N.A.</t>
  </si>
  <si>
    <t>Actual (average 2008-2012)</t>
  </si>
  <si>
    <t>Mixed Climate Funds</t>
  </si>
  <si>
    <t xml:space="preserve">   Forest management</t>
  </si>
  <si>
    <t>Actual</t>
  </si>
  <si>
    <t>Potential</t>
  </si>
  <si>
    <t>(7) GEF (2008) Status report of climate change funds as of March, 4 2008</t>
  </si>
  <si>
    <t>Coastal zones (8)</t>
  </si>
  <si>
    <t xml:space="preserve">   GIFC (total) (3) </t>
  </si>
  <si>
    <t xml:space="preserve">   GCAA p.a. (3)</t>
  </si>
  <si>
    <t xml:space="preserve">   German Climate Initiative p.a. (3)</t>
  </si>
  <si>
    <t xml:space="preserve">   GEF Tropical Forest Account (total) (3)</t>
  </si>
  <si>
    <t>non-annex 1</t>
  </si>
  <si>
    <t>Natural gas</t>
  </si>
  <si>
    <t>Oil</t>
  </si>
  <si>
    <t xml:space="preserve">Coal </t>
  </si>
  <si>
    <t>Fossil fuel supply total</t>
  </si>
  <si>
    <t>Research</t>
  </si>
  <si>
    <t>Extension</t>
  </si>
  <si>
    <t xml:space="preserve">Capital formation </t>
  </si>
  <si>
    <t>total</t>
  </si>
  <si>
    <t>Agriculture, forestry and fisheries (p. 103)</t>
  </si>
  <si>
    <t xml:space="preserve">   Capital formation/production and processing</t>
  </si>
  <si>
    <t xml:space="preserve">   Extension activities</t>
  </si>
  <si>
    <t xml:space="preserve">            </t>
  </si>
  <si>
    <t xml:space="preserve">            3) The IEA Report (2008) Energy Technology Perspectives 2008 distinguishes between two scenarios, BLUE MAP and ACT MAP.  Additional investment needs in the total energy related sectors worldwide in the BLUE Map scenario amount to USD 45 trillion over the period up to 2050 or USD 1.1 trillion per year (ACT: USD 17 trillion up to 2050 or USD 400 billion per year).</t>
  </si>
  <si>
    <t xml:space="preserve">   GEF-IFC Earth Fund (total) (3), also biodiversity and land degradation, share for climate change unclear, but less than given amount! (10)</t>
  </si>
  <si>
    <t xml:space="preserve">   Renewables</t>
  </si>
  <si>
    <t>(6) Total investment for power supply in 2030 declines from USD 251 billion in the Reference scenario to USD 245 billion in the Mitigation scenario. The USD 73.4 billion reported here is the additional investment that would be needed for renewables, CCS, nuclear power and hydropower. Investment for coal-, oil- and gas-fired generation and transmission and distribution would be reduced by 79 billion USD.</t>
  </si>
  <si>
    <t>(5) http://europa.eu/rapid/pressReleasesAction.do?reference=IP/08/473&amp;format=HTML&amp;aged=0&amp;language=EN&amp;guiLanguage=en</t>
  </si>
  <si>
    <t xml:space="preserve">   Hydro</t>
  </si>
  <si>
    <t xml:space="preserve">   Fuel consuming equipment</t>
  </si>
  <si>
    <t xml:space="preserve">   Electrical equipment</t>
  </si>
  <si>
    <t xml:space="preserve">   EE in vehicles and hybrid vehicle</t>
  </si>
  <si>
    <t>Infrastructure (p.123)</t>
  </si>
  <si>
    <t>Infrastructure (9)</t>
  </si>
  <si>
    <t xml:space="preserve">   India </t>
  </si>
  <si>
    <t xml:space="preserve">   Indonesia</t>
  </si>
  <si>
    <t>Coal, oil and gas  supply</t>
  </si>
  <si>
    <t>in billion USD</t>
  </si>
  <si>
    <t>Coal</t>
  </si>
  <si>
    <t>Mitigation</t>
  </si>
  <si>
    <t>Adaptation</t>
  </si>
  <si>
    <t>5% additional investment</t>
  </si>
  <si>
    <t>Based on ABI data</t>
  </si>
  <si>
    <t>(8)  Assuming anticipation to 2080, i.e. estimated investment required in dykes, for instance, assumes that coastal infrastructure built in that year is sufficient to adapt to the maximum amount of SLR anticipated in 2080. Note that this estimate is extremely sensitive to the assumed planning horizon.</t>
  </si>
  <si>
    <t>Technology R&amp;DD</t>
  </si>
  <si>
    <t>Diverting fossil fuel subsidies, EU in 2001 (20)</t>
  </si>
  <si>
    <t>(20) Kowalzig (2008) Innovative Finance for Adaptation to Climate Change in Developing Countries: an NGO perspective. Presentation Oxfam Germany, Berlin, 26 May 2008.</t>
  </si>
  <si>
    <t xml:space="preserve">   EC ETS revision proposal (20% of auctioning proceeds) p.a. by 2020 (21)</t>
  </si>
  <si>
    <t>Adaptation numbers are rather rough, e.g. in infrastructure not covering all aspects and  based on past experience with e.g. weather disasters. Estimates for adaptation cost in infrastructure based on MunichRe data of past weather damage of large catastrophes. This data is furhter scaled up  using an adjustment factor of 4.3 based on the ratio of the Association of British Insurance (ABI) data on toal eather related losses for the period 2000 - 2006 to the Munich Re losses for the same period. In other words, potential increases of extreme weather events are not taken into account at all in this estimate (UNFCCC (2007) p. 121)</t>
  </si>
  <si>
    <t>Building (p. 68)</t>
  </si>
  <si>
    <t xml:space="preserve">            2) Where numbers do not add up correctly this is due to rounding errors in the breakdown numbers</t>
  </si>
  <si>
    <t>Notes:  1) Where not otherwise indicated numbers are taken from UNFCCC (2007) Investment and financial flows to address climate change</t>
  </si>
  <si>
    <t xml:space="preserve">   Power generation (non-fossil + CCS) total (6)</t>
  </si>
  <si>
    <t>(2) The generally accepted rule of thumb for investments leveraged by the CDM is five times the CER value, for example UNFCCC (2007) p. 140</t>
  </si>
  <si>
    <t>Annex 1 for non-Annex 1</t>
  </si>
  <si>
    <t>Non-Annex I Parties</t>
  </si>
  <si>
    <t xml:space="preserve">   Spanish MDG Fund p.a. (3) (partly for poverty eradication)</t>
  </si>
  <si>
    <t>Total</t>
  </si>
  <si>
    <t xml:space="preserve">   Asian Development Bank (EE projects) p.a. (3)</t>
  </si>
  <si>
    <t xml:space="preserve">   Cool Earth partnership p.a. (3)</t>
  </si>
  <si>
    <t>(3) Source: ODI (2008) New finance for climate change and the environment for the developing world</t>
  </si>
  <si>
    <t xml:space="preserve">   ETF-IW p.a. (3)</t>
  </si>
  <si>
    <t>(4) http://www.ebrd.com/pubs/factsh/themes/energy.pdf</t>
  </si>
  <si>
    <t>(14) Special drawing rights are a from of intergvoernmental currency provided by the IMF to serve as a supplemental form of liquifity for ist member countries. Some special drawing rights issued could be donated to raise revenue for Convention purposes.</t>
  </si>
  <si>
    <t>(12) Voluntary allocation of up to 5% of foreign exchange reserves to a fund to invest in mitigation projects determined by the investors to diversify foreign exchange reserve investments</t>
  </si>
  <si>
    <t xml:space="preserve">   EC Global Energy Efficiency and Renewable Energy Fund (GEEREF), pledged (2007-2010) (5)</t>
  </si>
  <si>
    <t xml:space="preserve">   Norad Rainforest Fund p.a. (3)</t>
  </si>
  <si>
    <t>(18) Planned “International Climate Change  Adaptation and National Security Fund” funded by auctioning a percentage of the annual emission allowances of the proposed US emission trading scheme, starting with 1% in 2012, and raising gradually to 7% in 2050. According to Waskow (2008), this would amount to about $1 billion in 2012, increasing to around $2 billion by 2020 and $6 billion by 2030.</t>
  </si>
  <si>
    <t>(15) Source: Müller, B. (2008) International Adaptation Finance: The Need for an Innovative and Strategic Approach. Oxford Institute for Energy Studies</t>
  </si>
  <si>
    <t xml:space="preserve">   Research and development</t>
  </si>
  <si>
    <t>SRES A1B</t>
  </si>
  <si>
    <t xml:space="preserve">   Diarrhoeal diseases</t>
  </si>
  <si>
    <t xml:space="preserve">   Malnutrition</t>
  </si>
  <si>
    <t xml:space="preserve">   Malaria</t>
  </si>
  <si>
    <t>Coastal Infrastructure</t>
  </si>
  <si>
    <t xml:space="preserve">SRES A1B </t>
  </si>
  <si>
    <t xml:space="preserve">SRES B1 </t>
  </si>
  <si>
    <t xml:space="preserve">   Coastal infrastructure</t>
  </si>
  <si>
    <t xml:space="preserve">   Land loss</t>
  </si>
  <si>
    <t xml:space="preserve">   Sea floods</t>
  </si>
  <si>
    <t xml:space="preserve">      Beach nourishment </t>
  </si>
  <si>
    <t xml:space="preserve">      Sea dykes</t>
  </si>
  <si>
    <t>Mean 2030</t>
  </si>
  <si>
    <t>Maximum in 2080</t>
  </si>
  <si>
    <t xml:space="preserve">   United States</t>
  </si>
  <si>
    <t xml:space="preserve">   Canada</t>
  </si>
  <si>
    <t xml:space="preserve">   Mexico</t>
  </si>
  <si>
    <t xml:space="preserve">   Japan</t>
  </si>
  <si>
    <t xml:space="preserve">   Korea</t>
  </si>
  <si>
    <t>Power generation</t>
  </si>
  <si>
    <t>deforestation mitigation cost based on annual deforestation rates, dodgy to extrapolate until 2030 (p.81 and 174)</t>
  </si>
  <si>
    <t xml:space="preserve">   Swiss Global Carbon Adaptation Tax Proposal p.a. (15) (16)</t>
  </si>
  <si>
    <t xml:space="preserve">   Power generation (fossil) and T&amp;D total</t>
  </si>
  <si>
    <t xml:space="preserve">   Coal-fired generation</t>
  </si>
  <si>
    <t xml:space="preserve">   Oil-fired plants</t>
  </si>
  <si>
    <t xml:space="preserve">   Gas-fired plants</t>
  </si>
  <si>
    <t xml:space="preserve">   Transmission and distribution</t>
  </si>
  <si>
    <t xml:space="preserve">   Nuclear</t>
  </si>
  <si>
    <t>Total other additional funding potential</t>
  </si>
  <si>
    <t>Total potential additional funding per annum</t>
  </si>
  <si>
    <t>(16) Uniform global carbon tax of $2/tCO2 on all fossil fuel emissions, wih a basic tax exemption of 1.5tCO2 per inhabitant; of global total of $48.5bn, 48% from developend and 52% from developing countries; disbursement partly domestic, partly multilateraly into a Mulitlateral Adaptation Fund. (Equity issues with developing countries providing more than half of the money!)</t>
  </si>
  <si>
    <t>(17) According to the Climate Analysis Indicator Tool (CAIT) of the World Resources Institute, 5.2% of 1990 Annex I CO2 emissions = 17.2GtCO2, 2% of which sold at the current EUA price of €25 ($40)/tCO2 would bring in revenues of around $14bn.</t>
  </si>
  <si>
    <t>Transmission &amp; Distribution</t>
  </si>
  <si>
    <t>Energy-related investment (energy efficiency )</t>
  </si>
  <si>
    <t>High global warming potential GHG reduction</t>
  </si>
  <si>
    <r>
      <t xml:space="preserve">(9) Infrastructure adaptation here involves making modifications to or changes in operation of infrastructure that would be directly affected by climate change. This applies to infrastructure used to manage natural resources such as water or coastal resources infrasturcture, e.g. coastal defences, flood protection, water supply, water quality treatment, hydropower, heating and colling systems. Estimates based on weather damage data by MunichRe and Association of British Insurance. </t>
    </r>
    <r>
      <rPr>
        <sz val="10"/>
        <color indexed="10"/>
        <rFont val="Arial"/>
        <family val="0"/>
      </rPr>
      <t>Possible partial overlap with coastal infrastructure!</t>
    </r>
  </si>
  <si>
    <t>global</t>
  </si>
  <si>
    <t xml:space="preserve">   Energy-related investment (EE)</t>
  </si>
  <si>
    <t>CH4 reduction</t>
  </si>
  <si>
    <t xml:space="preserve">   CH4 reduction</t>
  </si>
  <si>
    <t xml:space="preserve">   N2O reduction</t>
  </si>
  <si>
    <t xml:space="preserve">   High GWP GHG reduction</t>
  </si>
  <si>
    <t xml:space="preserve">   CCS</t>
  </si>
  <si>
    <t>N2O reduction</t>
  </si>
  <si>
    <t>CCS</t>
  </si>
  <si>
    <t>Energy (p.46-47)</t>
  </si>
  <si>
    <t>Industry (p.57)</t>
  </si>
  <si>
    <t xml:space="preserve">   biofuel</t>
  </si>
  <si>
    <t>Biofuel</t>
  </si>
  <si>
    <t>Transport (p.62)</t>
  </si>
  <si>
    <t xml:space="preserve">   World Bank Forest Carbon Partnership Fund (2008-2012) p.a. (3) </t>
  </si>
  <si>
    <t xml:space="preserve">   World Bank Strategic Climate Fund/Pilot Programme for Climate Resilience (target 2008-2012) p.a. (3)</t>
  </si>
  <si>
    <t>(11) Based on a charge of USD 6.50 per passenger per flight; annual average likely to increase towards mid-century with increasing air travel</t>
  </si>
  <si>
    <t xml:space="preserve">   Private investment leveraged by GEF-IFC Earth Fund (3)</t>
  </si>
  <si>
    <t>Total including leveraged funding</t>
  </si>
  <si>
    <t>Aggregation of adaptation numbers is not always transparent (e.g. coastal infrastructure: p.119 and p. 123)</t>
  </si>
  <si>
    <t>Total</t>
  </si>
  <si>
    <t>Industry</t>
  </si>
  <si>
    <t>Transport</t>
  </si>
  <si>
    <t>Builiding</t>
  </si>
  <si>
    <t>Waste</t>
  </si>
  <si>
    <t>Agriculture</t>
  </si>
  <si>
    <t>Forestry</t>
  </si>
  <si>
    <t>Agriculture,forestry,fisheries</t>
  </si>
  <si>
    <t>Water supply</t>
  </si>
  <si>
    <t>Human health</t>
  </si>
  <si>
    <t>all in billions US dollar</t>
  </si>
  <si>
    <t>Comparison Additional Finance and Investment needed in 2030 and supply</t>
  </si>
  <si>
    <t>Adaptation Finance</t>
  </si>
  <si>
    <t>Bilateral</t>
  </si>
  <si>
    <t>Mitigation Finance</t>
  </si>
  <si>
    <t>Need (in 2030)</t>
  </si>
  <si>
    <t xml:space="preserve">Scaling up Finance </t>
  </si>
  <si>
    <t>Range</t>
  </si>
  <si>
    <t>Low-end</t>
  </si>
  <si>
    <t>High-end</t>
  </si>
  <si>
    <t>OECD</t>
  </si>
  <si>
    <t xml:space="preserve">   Cool Earth Partnership p.a. (3)</t>
  </si>
  <si>
    <t xml:space="preserve">   GEF Trust Fund p.a. (19)</t>
  </si>
  <si>
    <t xml:space="preserve">   Leveraged by GEF Trust Fund p.a. (19)</t>
  </si>
  <si>
    <t>(19) The annual average amount for the GEF Trust Fund here goes back to the 990 million in GEF 4 (2006-2010), numbers for GEF 5 are not yet available, so that the GEF 4 average was extrapolated for the years 2010-2012 and given as  low-end value. The ratio of leveraged funding by the GEF trust fund was assumed to be 5.0 based on past trends as described in UNFCCC (2007): 164.</t>
  </si>
  <si>
    <t xml:space="preserve">   CCS Facility coal fired plants</t>
  </si>
  <si>
    <t xml:space="preserve">   CCS Facility gas fired plants</t>
  </si>
  <si>
    <t>Power generation + T&amp;D total (fossil &amp; renewable)</t>
  </si>
  <si>
    <t>World</t>
  </si>
  <si>
    <t>OECD North America</t>
  </si>
  <si>
    <t>OECD Pacific</t>
  </si>
  <si>
    <t>OECD Europe</t>
  </si>
  <si>
    <t>Transition economies</t>
  </si>
  <si>
    <t>Russia</t>
  </si>
  <si>
    <t>Other EIT</t>
  </si>
  <si>
    <t>Developing countries</t>
  </si>
  <si>
    <t>Developing Asia</t>
  </si>
  <si>
    <t>Latin America</t>
  </si>
  <si>
    <t>Africa</t>
  </si>
  <si>
    <t>Middle East</t>
  </si>
  <si>
    <t xml:space="preserve">   China</t>
  </si>
  <si>
    <t>Gaps identified:</t>
  </si>
  <si>
    <t>Breakdown for agriculture and forestry, only rough global figures</t>
  </si>
  <si>
    <t xml:space="preserve">   Tobintax (0.01% on wholesale currency transactions in 2003) p.a.</t>
  </si>
  <si>
    <t>Total (without leveraged fundin</t>
  </si>
  <si>
    <t xml:space="preserve">   Anticipated GEEREF leverage of risk capital (potential: total 1bn)</t>
  </si>
  <si>
    <t>Annex I</t>
  </si>
  <si>
    <t xml:space="preserve">   Norwegian Proposal of extending adaptation levy to IET p.a. (15) (17)</t>
  </si>
  <si>
    <t xml:space="preserve">   Lieberman-Warner Climate Security Act p.a. (15) (18)</t>
  </si>
  <si>
    <t>Other additional funding potential</t>
  </si>
  <si>
    <t>(13) Eligible renewables projects in developing countries could earn certificates that could be used toward compliance with obligation under renwables programmes in Annex I countries to a specified maximum, such as 5%. Estimate is based on a 5% share of the renewable energy programmes in Annex I Parites in 2005.</t>
  </si>
  <si>
    <t xml:space="preserve">   Funds to invest foreign exchange reserves, 5% in 2004 globally (12)</t>
  </si>
  <si>
    <t xml:space="preserve">   Access to renewables programmes in developed countries (2005) (13)</t>
  </si>
  <si>
    <t xml:space="preserve">   Donated special drawing rights (one-off 18 bn, plus annual SDRs in the future) (14)</t>
  </si>
  <si>
    <t xml:space="preserve">   Debt-RE + efficiency swap</t>
  </si>
  <si>
    <t>Potential additional funding per annum</t>
  </si>
  <si>
    <t xml:space="preserve">   International Aviation Levy (11), p.a.</t>
  </si>
  <si>
    <t xml:space="preserve">   Auctioning allowances marine, 2000-2030 p.a.</t>
  </si>
  <si>
    <t xml:space="preserve">   Auctioning allowances aviation, 2000-2030 p.a.</t>
  </si>
  <si>
    <t xml:space="preserve">   Extension of CDM levy to other mechamism (JI, IET), 2008-2012 p.a.</t>
  </si>
  <si>
    <t xml:space="preserve">   Chinese +0.5% of GDP Proposal p.a. (15)</t>
  </si>
  <si>
    <t xml:space="preserve">      of which adaptation funding p.a.</t>
  </si>
  <si>
    <t>Energy efficiency</t>
  </si>
  <si>
    <t>Energy efficiency and vehicle</t>
  </si>
  <si>
    <t xml:space="preserve">   Other Developing Asia</t>
  </si>
  <si>
    <t xml:space="preserve">   Brazil</t>
  </si>
  <si>
    <t xml:space="preserve">   Other Latin America</t>
  </si>
  <si>
    <t xml:space="preserve">(1) Actual:  Assuming 300 million CERs/year (Fenhann, 2008)  and a CER price between €15 and €25 between 2008 and 2012 (using a US$ exchange rate of 1.58) ; Potential: values for CER revenue potential are taken from UNFCCC (2007); the USD 100 bn per year in emission reduction purchases is derived by assuming 60-80% emission reductions by industrialized countries by mid-century, half of which would be met through investment in developing countries (UNFCCC,2007: 156). </t>
  </si>
  <si>
    <t>CDM (CER revenue only) p.a. (1)</t>
  </si>
  <si>
    <t>Private and other leveraged by CDM p.a. (2)</t>
  </si>
</sst>
</file>

<file path=xl/styles.xml><?xml version="1.0" encoding="utf-8"?>
<styleSheet xmlns="http://schemas.openxmlformats.org/spreadsheetml/2006/main">
  <numFmts count="46">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quot; €&quot;;\-#,##0&quot; €&quot;"/>
    <numFmt numFmtId="173" formatCode="#,##0&quot; €&quot;;[Red]\-#,##0&quot; €&quot;"/>
    <numFmt numFmtId="174" formatCode="#,##0.00&quot; €&quot;;\-#,##0.00&quot; €&quot;"/>
    <numFmt numFmtId="175" formatCode="#,##0.00&quot; €&quot;;[Red]\-#,##0.00&quot; €&quot;"/>
    <numFmt numFmtId="176" formatCode="_-* #,##0&quot; €&quot;_-;\-* #,##0&quot; €&quot;_-;_-* &quot;-&quot;&quot; €&quot;_-;_-@_-"/>
    <numFmt numFmtId="177" formatCode="_-* #,##0_ _€_-;\-* #,##0_ _€_-;_-* &quot;-&quot;_ _€_-;_-@_-"/>
    <numFmt numFmtId="178" formatCode="_-* #,##0.00&quot; €&quot;_-;\-* #,##0.00&quot; €&quot;_-;_-* &quot;-&quot;??&quot; €&quot;_-;_-@_-"/>
    <numFmt numFmtId="179" formatCode="_-* #,##0.00_ _€_-;\-* #,##0.00_ _€_-;_-* &quot;-&quot;??_ 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0.0000"/>
    <numFmt numFmtId="197" formatCode="0.000"/>
    <numFmt numFmtId="198" formatCode="0.0"/>
    <numFmt numFmtId="199" formatCode="0.000000"/>
    <numFmt numFmtId="200" formatCode="0.00000"/>
    <numFmt numFmtId="201" formatCode="#,##0.0"/>
  </numFmts>
  <fonts count="16">
    <font>
      <sz val="10"/>
      <name val="Arial"/>
      <family val="0"/>
    </font>
    <font>
      <sz val="8"/>
      <name val="Arial"/>
      <family val="0"/>
    </font>
    <font>
      <b/>
      <sz val="10"/>
      <name val="Arial"/>
      <family val="2"/>
    </font>
    <font>
      <b/>
      <sz val="12"/>
      <name val="Arial"/>
      <family val="2"/>
    </font>
    <font>
      <b/>
      <i/>
      <sz val="10"/>
      <name val="Arial"/>
      <family val="2"/>
    </font>
    <font>
      <i/>
      <sz val="10"/>
      <name val="Arial"/>
      <family val="2"/>
    </font>
    <font>
      <u val="single"/>
      <sz val="10"/>
      <color indexed="12"/>
      <name val="Arial"/>
      <family val="0"/>
    </font>
    <font>
      <u val="single"/>
      <sz val="10"/>
      <color indexed="36"/>
      <name val="Arial"/>
      <family val="0"/>
    </font>
    <font>
      <sz val="10"/>
      <color indexed="10"/>
      <name val="Arial"/>
      <family val="0"/>
    </font>
    <font>
      <b/>
      <sz val="11"/>
      <name val="Arial"/>
      <family val="0"/>
    </font>
    <font>
      <sz val="8"/>
      <name val="Tahoma"/>
      <family val="0"/>
    </font>
    <font>
      <b/>
      <sz val="8"/>
      <name val="Tahoma"/>
      <family val="0"/>
    </font>
    <font>
      <sz val="10"/>
      <color indexed="12"/>
      <name val="Arial"/>
      <family val="0"/>
    </font>
    <font>
      <b/>
      <sz val="10"/>
      <color indexed="12"/>
      <name val="Arial"/>
      <family val="0"/>
    </font>
    <font>
      <sz val="10"/>
      <color indexed="8"/>
      <name val="Arial"/>
      <family val="0"/>
    </font>
    <font>
      <b/>
      <sz val="8"/>
      <name val="Arial"/>
      <family val="2"/>
    </font>
  </fonts>
  <fills count="7">
    <fill>
      <patternFill/>
    </fill>
    <fill>
      <patternFill patternType="gray125"/>
    </fill>
    <fill>
      <patternFill patternType="solid">
        <fgColor indexed="14"/>
        <bgColor indexed="64"/>
      </patternFill>
    </fill>
    <fill>
      <patternFill patternType="solid">
        <fgColor indexed="22"/>
        <bgColor indexed="64"/>
      </patternFill>
    </fill>
    <fill>
      <patternFill patternType="solid">
        <fgColor indexed="23"/>
        <bgColor indexed="64"/>
      </patternFill>
    </fill>
    <fill>
      <patternFill patternType="solid">
        <fgColor indexed="49"/>
        <bgColor indexed="64"/>
      </patternFill>
    </fill>
    <fill>
      <patternFill patternType="solid">
        <fgColor indexed="43"/>
        <bgColor indexed="64"/>
      </patternFill>
    </fill>
  </fills>
  <borders count="72">
    <border>
      <left/>
      <right/>
      <top/>
      <bottom/>
      <diagonal/>
    </border>
    <border>
      <left>
        <color indexed="63"/>
      </left>
      <right>
        <color indexed="63"/>
      </right>
      <top>
        <color indexed="63"/>
      </top>
      <bottom style="thin"/>
    </border>
    <border>
      <left style="medium"/>
      <right>
        <color indexed="63"/>
      </right>
      <top>
        <color indexed="63"/>
      </top>
      <bottom style="thin"/>
    </border>
    <border>
      <left>
        <color indexed="63"/>
      </left>
      <right style="medium"/>
      <top style="thin"/>
      <bottom>
        <color indexed="63"/>
      </bottom>
    </border>
    <border>
      <left style="thin">
        <color indexed="23"/>
      </left>
      <right style="thin">
        <color indexed="23"/>
      </right>
      <top style="thin">
        <color indexed="23"/>
      </top>
      <bottom style="thin">
        <color indexed="23"/>
      </bottom>
    </border>
    <border>
      <left style="thin">
        <color indexed="23"/>
      </left>
      <right style="thin">
        <color indexed="23"/>
      </right>
      <top>
        <color indexed="63"/>
      </top>
      <bottom style="thin">
        <color indexed="23"/>
      </bottom>
    </border>
    <border>
      <left>
        <color indexed="63"/>
      </left>
      <right>
        <color indexed="63"/>
      </right>
      <top>
        <color indexed="63"/>
      </top>
      <bottom style="medium"/>
    </border>
    <border>
      <left style="thin"/>
      <right>
        <color indexed="63"/>
      </right>
      <top style="thin"/>
      <bottom style="thin"/>
    </border>
    <border>
      <left style="thin">
        <color indexed="23"/>
      </left>
      <right>
        <color indexed="63"/>
      </right>
      <top>
        <color indexed="63"/>
      </top>
      <bottom style="thin">
        <color indexed="23"/>
      </bottom>
    </border>
    <border>
      <left style="thin">
        <color indexed="23"/>
      </left>
      <right>
        <color indexed="63"/>
      </right>
      <top style="thin">
        <color indexed="23"/>
      </top>
      <bottom style="thin">
        <color indexed="23"/>
      </bottom>
    </border>
    <border>
      <left>
        <color indexed="63"/>
      </left>
      <right>
        <color indexed="63"/>
      </right>
      <top style="thin"/>
      <bottom>
        <color indexed="63"/>
      </bottom>
    </border>
    <border>
      <left>
        <color indexed="63"/>
      </left>
      <right>
        <color indexed="63"/>
      </right>
      <top style="medium"/>
      <bottom>
        <color indexed="63"/>
      </bottom>
    </border>
    <border>
      <left style="medium"/>
      <right>
        <color indexed="63"/>
      </right>
      <top>
        <color indexed="63"/>
      </top>
      <bottom style="medium"/>
    </border>
    <border>
      <left style="medium"/>
      <right style="thin">
        <color indexed="23"/>
      </right>
      <top>
        <color indexed="63"/>
      </top>
      <bottom style="thin">
        <color indexed="23"/>
      </bottom>
    </border>
    <border>
      <left style="medium"/>
      <right style="thin">
        <color indexed="23"/>
      </right>
      <top style="thin">
        <color indexed="23"/>
      </top>
      <bottom style="thin">
        <color indexed="23"/>
      </bottom>
    </border>
    <border>
      <left style="medium"/>
      <right style="thin">
        <color indexed="23"/>
      </right>
      <top style="thin">
        <color indexed="23"/>
      </top>
      <bottom style="medium"/>
    </border>
    <border>
      <left style="thin">
        <color indexed="23"/>
      </left>
      <right style="thin">
        <color indexed="23"/>
      </right>
      <top style="thin">
        <color indexed="23"/>
      </top>
      <bottom style="medium"/>
    </border>
    <border>
      <left style="thin">
        <color indexed="23"/>
      </left>
      <right style="medium"/>
      <top style="thin">
        <color indexed="23"/>
      </top>
      <bottom style="medium"/>
    </border>
    <border>
      <left style="medium"/>
      <right>
        <color indexed="63"/>
      </right>
      <top style="medium"/>
      <bottom>
        <color indexed="63"/>
      </bottom>
    </border>
    <border>
      <left style="thin">
        <color indexed="23"/>
      </left>
      <right>
        <color indexed="63"/>
      </right>
      <top style="thin">
        <color indexed="23"/>
      </top>
      <bottom style="medium"/>
    </border>
    <border>
      <left style="medium">
        <color indexed="8"/>
      </left>
      <right>
        <color indexed="63"/>
      </right>
      <top>
        <color indexed="63"/>
      </top>
      <bottom style="medium"/>
    </border>
    <border>
      <left style="medium">
        <color indexed="8"/>
      </left>
      <right style="thin">
        <color indexed="23"/>
      </right>
      <top>
        <color indexed="63"/>
      </top>
      <bottom style="thin">
        <color indexed="23"/>
      </bottom>
    </border>
    <border>
      <left style="medium">
        <color indexed="8"/>
      </left>
      <right style="thin">
        <color indexed="23"/>
      </right>
      <top style="thin">
        <color indexed="23"/>
      </top>
      <bottom style="thin">
        <color indexed="23"/>
      </bottom>
    </border>
    <border>
      <left style="medium">
        <color indexed="8"/>
      </left>
      <right style="thin">
        <color indexed="23"/>
      </right>
      <top style="thin">
        <color indexed="23"/>
      </top>
      <bottom style="medium">
        <color indexed="8"/>
      </bottom>
    </border>
    <border>
      <left style="thin">
        <color indexed="23"/>
      </left>
      <right style="thin">
        <color indexed="23"/>
      </right>
      <top style="thin">
        <color indexed="23"/>
      </top>
      <bottom style="medium">
        <color indexed="8"/>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style="thin">
        <color indexed="23"/>
      </left>
      <right>
        <color indexed="63"/>
      </right>
      <top style="thin">
        <color indexed="23"/>
      </top>
      <bottom style="medium">
        <color indexed="8"/>
      </bottom>
    </border>
    <border>
      <left style="medium"/>
      <right style="medium"/>
      <top style="thin">
        <color indexed="23"/>
      </top>
      <bottom style="thin">
        <color indexed="23"/>
      </bottom>
    </border>
    <border>
      <left style="medium"/>
      <right style="medium"/>
      <top style="thin">
        <color indexed="23"/>
      </top>
      <bottom style="medium"/>
    </border>
    <border>
      <left style="medium"/>
      <right style="medium"/>
      <top>
        <color indexed="63"/>
      </top>
      <bottom style="thin">
        <color indexed="23"/>
      </bottom>
    </border>
    <border>
      <left style="medium"/>
      <right>
        <color indexed="63"/>
      </right>
      <top>
        <color indexed="63"/>
      </top>
      <bottom style="thin">
        <color indexed="23"/>
      </bottom>
    </border>
    <border>
      <left style="medium"/>
      <right>
        <color indexed="63"/>
      </right>
      <top style="thin">
        <color indexed="23"/>
      </top>
      <bottom style="thin">
        <color indexed="23"/>
      </bottom>
    </border>
    <border>
      <left style="medium"/>
      <right>
        <color indexed="63"/>
      </right>
      <top style="thin">
        <color indexed="23"/>
      </top>
      <bottom style="medium"/>
    </border>
    <border>
      <left style="medium"/>
      <right>
        <color indexed="63"/>
      </right>
      <top style="medium"/>
      <bottom style="thin">
        <color indexed="23"/>
      </bottom>
    </border>
    <border>
      <left style="medium"/>
      <right style="medium"/>
      <top style="medium"/>
      <bottom>
        <color indexed="63"/>
      </bottom>
    </border>
    <border>
      <left style="medium"/>
      <right style="medium"/>
      <top>
        <color indexed="63"/>
      </top>
      <bottom style="medium"/>
    </border>
    <border>
      <left>
        <color indexed="63"/>
      </left>
      <right>
        <color indexed="63"/>
      </right>
      <top style="thin"/>
      <bottom style="thin"/>
    </border>
    <border>
      <left>
        <color indexed="63"/>
      </left>
      <right style="medium"/>
      <top style="thin"/>
      <bottom style="thin"/>
    </border>
    <border>
      <left style="thin">
        <color indexed="23"/>
      </left>
      <right>
        <color indexed="63"/>
      </right>
      <top>
        <color indexed="63"/>
      </top>
      <bottom>
        <color indexed="63"/>
      </bottom>
    </border>
    <border>
      <left style="thin">
        <color indexed="23"/>
      </left>
      <right style="medium"/>
      <top style="thin">
        <color indexed="23"/>
      </top>
      <bottom style="thin">
        <color indexed="2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style="medium"/>
      <bottom>
        <color indexed="63"/>
      </bottom>
    </border>
    <border>
      <left>
        <color indexed="63"/>
      </left>
      <right style="medium"/>
      <top style="thin">
        <color indexed="23"/>
      </top>
      <bottom style="thin">
        <color indexed="23"/>
      </bottom>
    </border>
    <border>
      <left style="thin">
        <color indexed="23"/>
      </left>
      <right style="thin">
        <color indexed="23"/>
      </right>
      <top style="thin">
        <color indexed="23"/>
      </top>
      <bottom>
        <color indexed="63"/>
      </bottom>
    </border>
    <border>
      <left style="medium"/>
      <right>
        <color indexed="63"/>
      </right>
      <top style="medium"/>
      <bottom style="medium"/>
    </border>
    <border>
      <left style="thin">
        <color indexed="23"/>
      </left>
      <right>
        <color indexed="63"/>
      </right>
      <top style="thin">
        <color indexed="23"/>
      </top>
      <bottom>
        <color indexed="63"/>
      </bottom>
    </border>
    <border>
      <left style="medium"/>
      <right style="thin">
        <color indexed="23"/>
      </right>
      <top style="thin">
        <color indexed="23"/>
      </top>
      <bottom>
        <color indexed="63"/>
      </bottom>
    </border>
    <border>
      <left>
        <color indexed="63"/>
      </left>
      <right style="medium"/>
      <top style="thin">
        <color indexed="23"/>
      </top>
      <bottom>
        <color indexed="63"/>
      </bottom>
    </border>
    <border>
      <left>
        <color indexed="63"/>
      </left>
      <right>
        <color indexed="63"/>
      </right>
      <top style="medium"/>
      <bottom style="medium"/>
    </border>
    <border>
      <left>
        <color indexed="63"/>
      </left>
      <right style="medium"/>
      <top style="medium"/>
      <bottom style="medium"/>
    </border>
    <border>
      <left>
        <color indexed="63"/>
      </left>
      <right>
        <color indexed="63"/>
      </right>
      <top style="thin"/>
      <bottom style="medium"/>
    </border>
    <border>
      <left style="medium"/>
      <right style="thin"/>
      <top style="thin"/>
      <bottom>
        <color indexed="63"/>
      </bottom>
    </border>
    <border>
      <left style="medium"/>
      <right style="thin"/>
      <top style="thin"/>
      <bottom style="thin"/>
    </border>
    <border>
      <left style="medium"/>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medium"/>
      <right style="thin"/>
      <top>
        <color indexed="63"/>
      </top>
      <bottom style="double"/>
    </border>
    <border>
      <left>
        <color indexed="63"/>
      </left>
      <right>
        <color indexed="63"/>
      </right>
      <top>
        <color indexed="63"/>
      </top>
      <bottom style="double"/>
    </border>
    <border>
      <left>
        <color indexed="63"/>
      </left>
      <right>
        <color indexed="63"/>
      </right>
      <top style="thin"/>
      <bottom style="double"/>
    </border>
    <border>
      <left>
        <color indexed="63"/>
      </left>
      <right style="medium"/>
      <top style="thin"/>
      <bottom style="double"/>
    </border>
    <border>
      <left style="medium"/>
      <right>
        <color indexed="63"/>
      </right>
      <top style="thin"/>
      <bottom style="double"/>
    </border>
    <border>
      <left style="thin"/>
      <right>
        <color indexed="63"/>
      </right>
      <top style="thin"/>
      <bottom style="double"/>
    </border>
    <border>
      <left style="medium"/>
      <right>
        <color indexed="63"/>
      </right>
      <top style="thin"/>
      <bottom style="medium"/>
    </border>
    <border>
      <left style="thin"/>
      <right>
        <color indexed="63"/>
      </right>
      <top style="thin"/>
      <bottom style="medium"/>
    </border>
    <border>
      <left>
        <color indexed="63"/>
      </left>
      <right style="medium"/>
      <top style="thin"/>
      <bottom style="medium"/>
    </border>
    <border>
      <left style="thin"/>
      <right style="thin"/>
      <top>
        <color indexed="63"/>
      </top>
      <bottom style="thin"/>
    </border>
    <border>
      <left style="thin"/>
      <right style="thin"/>
      <top>
        <color indexed="63"/>
      </top>
      <bottom>
        <color indexed="63"/>
      </bottom>
    </border>
    <border>
      <left>
        <color indexed="63"/>
      </left>
      <right style="medium"/>
      <top>
        <color indexed="63"/>
      </top>
      <bottom style="double"/>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204">
    <xf numFmtId="0" fontId="0" fillId="0" borderId="0" xfId="0" applyAlignment="1">
      <alignment/>
    </xf>
    <xf numFmtId="0" fontId="0" fillId="2" borderId="1" xfId="0" applyFill="1" applyBorder="1" applyAlignment="1">
      <alignment/>
    </xf>
    <xf numFmtId="0" fontId="5" fillId="2" borderId="2" xfId="0" applyFont="1" applyFill="1" applyBorder="1" applyAlignment="1">
      <alignment/>
    </xf>
    <xf numFmtId="0" fontId="0" fillId="2" borderId="0" xfId="0" applyFill="1" applyAlignment="1">
      <alignment/>
    </xf>
    <xf numFmtId="0" fontId="2" fillId="3" borderId="0" xfId="0" applyFont="1" applyFill="1" applyBorder="1" applyAlignment="1">
      <alignment/>
    </xf>
    <xf numFmtId="0" fontId="0" fillId="0" borderId="0" xfId="0" applyBorder="1" applyAlignment="1">
      <alignment/>
    </xf>
    <xf numFmtId="0" fontId="2" fillId="0" borderId="0" xfId="0" applyFont="1" applyAlignment="1">
      <alignment/>
    </xf>
    <xf numFmtId="0" fontId="0" fillId="4" borderId="0" xfId="0" applyFill="1" applyAlignment="1">
      <alignment/>
    </xf>
    <xf numFmtId="0" fontId="3" fillId="4" borderId="3" xfId="0" applyFont="1" applyFill="1" applyBorder="1" applyAlignment="1">
      <alignment/>
    </xf>
    <xf numFmtId="0" fontId="0" fillId="4" borderId="0" xfId="0" applyFill="1" applyBorder="1" applyAlignment="1">
      <alignment/>
    </xf>
    <xf numFmtId="0" fontId="2" fillId="0" borderId="4" xfId="0" applyFont="1" applyBorder="1" applyAlignment="1">
      <alignment/>
    </xf>
    <xf numFmtId="0" fontId="0" fillId="0" borderId="4" xfId="0" applyBorder="1" applyAlignment="1">
      <alignment/>
    </xf>
    <xf numFmtId="0" fontId="2" fillId="0" borderId="5" xfId="0" applyFont="1" applyBorder="1" applyAlignment="1">
      <alignment/>
    </xf>
    <xf numFmtId="0" fontId="0" fillId="0" borderId="6" xfId="0" applyBorder="1" applyAlignment="1">
      <alignment horizontal="right" wrapText="1"/>
    </xf>
    <xf numFmtId="0" fontId="3" fillId="4" borderId="7" xfId="0" applyFont="1" applyFill="1" applyBorder="1" applyAlignment="1">
      <alignment/>
    </xf>
    <xf numFmtId="0" fontId="0" fillId="4" borderId="0" xfId="0" applyFill="1" applyBorder="1" applyAlignment="1">
      <alignment horizontal="left"/>
    </xf>
    <xf numFmtId="0" fontId="2" fillId="0" borderId="8" xfId="0" applyFont="1" applyBorder="1" applyAlignment="1">
      <alignment/>
    </xf>
    <xf numFmtId="0" fontId="2" fillId="0" borderId="9" xfId="0" applyFont="1" applyBorder="1" applyAlignment="1">
      <alignment/>
    </xf>
    <xf numFmtId="0" fontId="0" fillId="0" borderId="9" xfId="0" applyBorder="1" applyAlignment="1">
      <alignment/>
    </xf>
    <xf numFmtId="0" fontId="0" fillId="4" borderId="10" xfId="0" applyFill="1" applyBorder="1" applyAlignment="1">
      <alignment/>
    </xf>
    <xf numFmtId="0" fontId="0" fillId="4" borderId="11" xfId="0" applyFill="1" applyBorder="1" applyAlignment="1">
      <alignment horizontal="right"/>
    </xf>
    <xf numFmtId="0" fontId="0" fillId="0" borderId="12" xfId="0" applyBorder="1" applyAlignment="1">
      <alignment horizontal="right" wrapText="1"/>
    </xf>
    <xf numFmtId="0" fontId="2" fillId="0" borderId="13" xfId="0" applyFont="1" applyBorder="1" applyAlignment="1">
      <alignment/>
    </xf>
    <xf numFmtId="0" fontId="2" fillId="0" borderId="14" xfId="0" applyFont="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2" fillId="4" borderId="18" xfId="0" applyFont="1" applyFill="1" applyBorder="1" applyAlignment="1">
      <alignment horizontal="left"/>
    </xf>
    <xf numFmtId="0" fontId="2" fillId="4" borderId="18" xfId="0" applyFont="1" applyFill="1" applyBorder="1" applyAlignment="1">
      <alignment/>
    </xf>
    <xf numFmtId="0" fontId="0" fillId="4" borderId="11" xfId="0" applyFill="1" applyBorder="1" applyAlignment="1">
      <alignment/>
    </xf>
    <xf numFmtId="0" fontId="0" fillId="0" borderId="6" xfId="0" applyFill="1" applyBorder="1" applyAlignment="1">
      <alignment horizontal="right" wrapText="1"/>
    </xf>
    <xf numFmtId="0" fontId="2" fillId="0" borderId="5" xfId="0" applyFont="1" applyFill="1" applyBorder="1" applyAlignment="1">
      <alignment/>
    </xf>
    <xf numFmtId="0" fontId="2" fillId="0" borderId="4" xfId="0" applyFont="1" applyFill="1" applyBorder="1" applyAlignment="1">
      <alignment/>
    </xf>
    <xf numFmtId="0" fontId="0" fillId="0" borderId="4" xfId="0" applyFill="1" applyBorder="1" applyAlignment="1">
      <alignment/>
    </xf>
    <xf numFmtId="0" fontId="0" fillId="0" borderId="19" xfId="0" applyBorder="1" applyAlignment="1">
      <alignment/>
    </xf>
    <xf numFmtId="0" fontId="0" fillId="0" borderId="20" xfId="0" applyFill="1" applyBorder="1" applyAlignment="1">
      <alignment horizontal="right" wrapText="1"/>
    </xf>
    <xf numFmtId="0" fontId="2" fillId="0" borderId="21" xfId="0" applyFont="1" applyFill="1" applyBorder="1" applyAlignment="1">
      <alignment/>
    </xf>
    <xf numFmtId="0" fontId="2" fillId="0" borderId="22" xfId="0" applyFont="1" applyFill="1" applyBorder="1" applyAlignment="1">
      <alignment/>
    </xf>
    <xf numFmtId="0" fontId="0" fillId="0" borderId="22" xfId="0" applyFill="1" applyBorder="1" applyAlignment="1">
      <alignment/>
    </xf>
    <xf numFmtId="0" fontId="0" fillId="0" borderId="23" xfId="0" applyFill="1" applyBorder="1" applyAlignment="1">
      <alignment/>
    </xf>
    <xf numFmtId="0" fontId="0" fillId="0" borderId="24" xfId="0" applyFill="1" applyBorder="1" applyAlignment="1">
      <alignment/>
    </xf>
    <xf numFmtId="0" fontId="2" fillId="4" borderId="25" xfId="0" applyFont="1" applyFill="1" applyBorder="1" applyAlignment="1">
      <alignment/>
    </xf>
    <xf numFmtId="0" fontId="0" fillId="4" borderId="26" xfId="0" applyFill="1" applyBorder="1" applyAlignment="1">
      <alignment/>
    </xf>
    <xf numFmtId="0" fontId="2" fillId="0" borderId="8" xfId="0" applyFont="1" applyFill="1" applyBorder="1" applyAlignment="1">
      <alignment/>
    </xf>
    <xf numFmtId="0" fontId="2" fillId="0" borderId="9" xfId="0" applyFont="1" applyFill="1" applyBorder="1" applyAlignment="1">
      <alignment/>
    </xf>
    <xf numFmtId="0" fontId="0" fillId="0" borderId="9" xfId="0" applyFill="1" applyBorder="1" applyAlignment="1">
      <alignment/>
    </xf>
    <xf numFmtId="0" fontId="0" fillId="0" borderId="27" xfId="0" applyFill="1" applyBorder="1" applyAlignment="1">
      <alignment/>
    </xf>
    <xf numFmtId="0" fontId="0" fillId="0" borderId="6" xfId="0" applyBorder="1" applyAlignment="1">
      <alignment wrapText="1"/>
    </xf>
    <xf numFmtId="0" fontId="0" fillId="0" borderId="12" xfId="0" applyBorder="1" applyAlignment="1">
      <alignment wrapText="1"/>
    </xf>
    <xf numFmtId="0" fontId="0" fillId="0" borderId="0" xfId="0" applyAlignment="1">
      <alignment wrapText="1"/>
    </xf>
    <xf numFmtId="0" fontId="2" fillId="0" borderId="28" xfId="0" applyFont="1" applyBorder="1" applyAlignment="1">
      <alignment/>
    </xf>
    <xf numFmtId="0" fontId="0" fillId="0" borderId="28" xfId="0" applyBorder="1" applyAlignment="1">
      <alignment/>
    </xf>
    <xf numFmtId="0" fontId="0" fillId="0" borderId="29" xfId="0" applyBorder="1" applyAlignment="1">
      <alignment/>
    </xf>
    <xf numFmtId="0" fontId="2" fillId="0" borderId="30" xfId="0" applyFont="1" applyBorder="1" applyAlignment="1">
      <alignment/>
    </xf>
    <xf numFmtId="0" fontId="2" fillId="0" borderId="31" xfId="0" applyFont="1" applyBorder="1" applyAlignment="1">
      <alignment/>
    </xf>
    <xf numFmtId="0" fontId="2" fillId="0" borderId="32" xfId="0" applyFont="1" applyBorder="1" applyAlignment="1">
      <alignment/>
    </xf>
    <xf numFmtId="0" fontId="0" fillId="0" borderId="32" xfId="0" applyBorder="1" applyAlignment="1">
      <alignment/>
    </xf>
    <xf numFmtId="0" fontId="0" fillId="0" borderId="33" xfId="0" applyBorder="1" applyAlignment="1">
      <alignment/>
    </xf>
    <xf numFmtId="0" fontId="2" fillId="4" borderId="34" xfId="0" applyFont="1" applyFill="1" applyBorder="1" applyAlignment="1">
      <alignment/>
    </xf>
    <xf numFmtId="0" fontId="0" fillId="0" borderId="33" xfId="0" applyBorder="1" applyAlignment="1">
      <alignment wrapText="1"/>
    </xf>
    <xf numFmtId="0" fontId="2" fillId="4" borderId="35" xfId="0" applyFont="1" applyFill="1" applyBorder="1" applyAlignment="1">
      <alignment/>
    </xf>
    <xf numFmtId="0" fontId="0" fillId="0" borderId="36" xfId="0" applyBorder="1" applyAlignment="1">
      <alignment wrapText="1"/>
    </xf>
    <xf numFmtId="0" fontId="0" fillId="4" borderId="37" xfId="0" applyFill="1" applyBorder="1" applyAlignment="1">
      <alignment/>
    </xf>
    <xf numFmtId="0" fontId="3" fillId="4" borderId="38" xfId="0" applyFont="1" applyFill="1" applyBorder="1" applyAlignment="1">
      <alignment/>
    </xf>
    <xf numFmtId="0" fontId="9" fillId="3" borderId="0" xfId="0" applyFont="1" applyFill="1" applyAlignment="1">
      <alignment/>
    </xf>
    <xf numFmtId="0" fontId="0" fillId="3" borderId="0" xfId="0" applyFont="1" applyFill="1" applyAlignment="1">
      <alignment/>
    </xf>
    <xf numFmtId="0" fontId="0" fillId="0" borderId="39" xfId="0" applyFill="1" applyBorder="1" applyAlignment="1">
      <alignment/>
    </xf>
    <xf numFmtId="0" fontId="0" fillId="0" borderId="40" xfId="0" applyBorder="1" applyAlignment="1">
      <alignment/>
    </xf>
    <xf numFmtId="0" fontId="2" fillId="0" borderId="40" xfId="0" applyFont="1" applyBorder="1" applyAlignment="1">
      <alignment/>
    </xf>
    <xf numFmtId="0" fontId="0" fillId="3" borderId="41" xfId="0" applyFont="1" applyFill="1" applyBorder="1" applyAlignment="1">
      <alignment wrapText="1"/>
    </xf>
    <xf numFmtId="0" fontId="0" fillId="3" borderId="42" xfId="0" applyFont="1" applyFill="1" applyBorder="1" applyAlignment="1">
      <alignment wrapText="1"/>
    </xf>
    <xf numFmtId="0" fontId="0" fillId="3" borderId="0" xfId="0" applyFont="1" applyFill="1" applyBorder="1" applyAlignment="1">
      <alignment wrapText="1"/>
    </xf>
    <xf numFmtId="0" fontId="2" fillId="3" borderId="41" xfId="0" applyFont="1" applyFill="1" applyBorder="1" applyAlignment="1">
      <alignment/>
    </xf>
    <xf numFmtId="0" fontId="0" fillId="3" borderId="42" xfId="0" applyFill="1" applyBorder="1" applyAlignment="1">
      <alignment/>
    </xf>
    <xf numFmtId="0" fontId="0" fillId="4" borderId="0" xfId="0" applyFont="1" applyFill="1" applyAlignment="1">
      <alignment/>
    </xf>
    <xf numFmtId="0" fontId="2" fillId="4" borderId="11" xfId="0" applyFont="1" applyFill="1" applyBorder="1" applyAlignment="1">
      <alignment/>
    </xf>
    <xf numFmtId="0" fontId="0" fillId="4" borderId="43" xfId="0" applyFill="1" applyBorder="1" applyAlignment="1">
      <alignment/>
    </xf>
    <xf numFmtId="0" fontId="2" fillId="0" borderId="44" xfId="0" applyFont="1" applyBorder="1" applyAlignment="1">
      <alignment/>
    </xf>
    <xf numFmtId="0" fontId="0" fillId="0" borderId="44" xfId="0" applyBorder="1" applyAlignment="1">
      <alignment/>
    </xf>
    <xf numFmtId="0" fontId="0" fillId="0" borderId="45" xfId="0" applyBorder="1" applyAlignment="1">
      <alignment/>
    </xf>
    <xf numFmtId="0" fontId="0" fillId="0" borderId="46" xfId="0" applyFill="1" applyBorder="1" applyAlignment="1">
      <alignment/>
    </xf>
    <xf numFmtId="0" fontId="0" fillId="0" borderId="47" xfId="0" applyBorder="1" applyAlignment="1">
      <alignment/>
    </xf>
    <xf numFmtId="0" fontId="0" fillId="0" borderId="48" xfId="0" applyBorder="1" applyAlignment="1">
      <alignment/>
    </xf>
    <xf numFmtId="0" fontId="0" fillId="0" borderId="49" xfId="0" applyBorder="1" applyAlignment="1">
      <alignment/>
    </xf>
    <xf numFmtId="0" fontId="0" fillId="0" borderId="50" xfId="0" applyFill="1" applyBorder="1" applyAlignment="1">
      <alignment/>
    </xf>
    <xf numFmtId="0" fontId="0" fillId="0" borderId="50" xfId="0" applyBorder="1" applyAlignment="1">
      <alignment/>
    </xf>
    <xf numFmtId="0" fontId="0" fillId="0" borderId="51" xfId="0" applyBorder="1" applyAlignment="1">
      <alignment/>
    </xf>
    <xf numFmtId="0" fontId="0" fillId="0" borderId="46" xfId="0" applyBorder="1" applyAlignment="1">
      <alignment/>
    </xf>
    <xf numFmtId="2" fontId="0" fillId="0" borderId="0" xfId="0" applyNumberFormat="1" applyFill="1" applyAlignment="1">
      <alignment/>
    </xf>
    <xf numFmtId="2" fontId="0" fillId="0" borderId="0" xfId="0" applyNumberFormat="1" applyAlignment="1">
      <alignment/>
    </xf>
    <xf numFmtId="2" fontId="4" fillId="0" borderId="0" xfId="0" applyNumberFormat="1" applyFont="1" applyAlignment="1">
      <alignment/>
    </xf>
    <xf numFmtId="2" fontId="3" fillId="0" borderId="0" xfId="0" applyNumberFormat="1" applyFont="1" applyAlignment="1">
      <alignment/>
    </xf>
    <xf numFmtId="2" fontId="0" fillId="0" borderId="0" xfId="0" applyNumberFormat="1" applyAlignment="1">
      <alignment horizontal="right"/>
    </xf>
    <xf numFmtId="2" fontId="2" fillId="0" borderId="0" xfId="0" applyNumberFormat="1" applyFont="1" applyAlignment="1">
      <alignment/>
    </xf>
    <xf numFmtId="2" fontId="2" fillId="0" borderId="0" xfId="0" applyNumberFormat="1" applyFont="1" applyBorder="1" applyAlignment="1">
      <alignment/>
    </xf>
    <xf numFmtId="2" fontId="0" fillId="0" borderId="0" xfId="0" applyNumberFormat="1" applyFont="1" applyAlignment="1">
      <alignment/>
    </xf>
    <xf numFmtId="2" fontId="0" fillId="0" borderId="0" xfId="0" applyNumberFormat="1" applyAlignment="1">
      <alignment horizontal="left"/>
    </xf>
    <xf numFmtId="2" fontId="0" fillId="0" borderId="0" xfId="0" applyNumberFormat="1" applyAlignment="1">
      <alignment/>
    </xf>
    <xf numFmtId="2" fontId="2" fillId="5" borderId="0" xfId="0" applyNumberFormat="1" applyFont="1" applyFill="1" applyAlignment="1">
      <alignment/>
    </xf>
    <xf numFmtId="2" fontId="0" fillId="5" borderId="0" xfId="0" applyNumberFormat="1" applyFill="1" applyAlignment="1">
      <alignment/>
    </xf>
    <xf numFmtId="2" fontId="4" fillId="0" borderId="0" xfId="0" applyNumberFormat="1" applyFont="1" applyFill="1" applyAlignment="1">
      <alignment/>
    </xf>
    <xf numFmtId="2" fontId="3" fillId="0" borderId="0" xfId="0" applyNumberFormat="1" applyFont="1" applyFill="1" applyAlignment="1">
      <alignment/>
    </xf>
    <xf numFmtId="2" fontId="0" fillId="0" borderId="0" xfId="0" applyNumberFormat="1" applyFill="1" applyAlignment="1">
      <alignment horizontal="right"/>
    </xf>
    <xf numFmtId="2" fontId="2" fillId="0" borderId="0" xfId="0" applyNumberFormat="1" applyFont="1" applyFill="1" applyAlignment="1">
      <alignment/>
    </xf>
    <xf numFmtId="2" fontId="2" fillId="0" borderId="0" xfId="0" applyNumberFormat="1" applyFont="1" applyFill="1" applyBorder="1" applyAlignment="1">
      <alignment/>
    </xf>
    <xf numFmtId="2" fontId="0" fillId="0" borderId="0" xfId="0" applyNumberFormat="1" applyFont="1" applyFill="1" applyAlignment="1">
      <alignment/>
    </xf>
    <xf numFmtId="0" fontId="0" fillId="3" borderId="0" xfId="0" applyFill="1" applyAlignment="1">
      <alignment horizontal="left"/>
    </xf>
    <xf numFmtId="0" fontId="0" fillId="0" borderId="41" xfId="0" applyBorder="1" applyAlignment="1">
      <alignment/>
    </xf>
    <xf numFmtId="0" fontId="0" fillId="3" borderId="0" xfId="0" applyFill="1" applyAlignment="1">
      <alignment horizontal="left" wrapText="1"/>
    </xf>
    <xf numFmtId="0" fontId="0" fillId="0" borderId="5" xfId="0" applyBorder="1" applyAlignment="1">
      <alignment/>
    </xf>
    <xf numFmtId="0" fontId="0" fillId="4" borderId="52" xfId="0" applyFill="1" applyBorder="1" applyAlignment="1">
      <alignment/>
    </xf>
    <xf numFmtId="2" fontId="5" fillId="0" borderId="2" xfId="0" applyNumberFormat="1" applyFont="1" applyFill="1" applyBorder="1" applyAlignment="1">
      <alignment/>
    </xf>
    <xf numFmtId="2" fontId="0" fillId="0" borderId="1" xfId="0" applyNumberFormat="1" applyFill="1" applyBorder="1" applyAlignment="1">
      <alignment/>
    </xf>
    <xf numFmtId="2" fontId="4" fillId="0" borderId="53" xfId="0" applyNumberFormat="1" applyFont="1" applyFill="1" applyBorder="1" applyAlignment="1">
      <alignment/>
    </xf>
    <xf numFmtId="2" fontId="4" fillId="0" borderId="0" xfId="0" applyNumberFormat="1" applyFont="1" applyFill="1" applyBorder="1" applyAlignment="1">
      <alignment/>
    </xf>
    <xf numFmtId="2" fontId="4" fillId="0" borderId="3" xfId="0" applyNumberFormat="1" applyFont="1" applyFill="1" applyBorder="1" applyAlignment="1">
      <alignment/>
    </xf>
    <xf numFmtId="2" fontId="3" fillId="0" borderId="54" xfId="0" applyNumberFormat="1" applyFont="1" applyFill="1" applyBorder="1" applyAlignment="1">
      <alignment/>
    </xf>
    <xf numFmtId="2" fontId="3" fillId="0" borderId="37" xfId="0" applyNumberFormat="1" applyFont="1" applyFill="1" applyBorder="1" applyAlignment="1">
      <alignment/>
    </xf>
    <xf numFmtId="2" fontId="3" fillId="0" borderId="38" xfId="0" applyNumberFormat="1" applyFont="1" applyFill="1" applyBorder="1" applyAlignment="1">
      <alignment/>
    </xf>
    <xf numFmtId="2" fontId="4" fillId="0" borderId="55" xfId="0" applyNumberFormat="1" applyFont="1" applyFill="1" applyBorder="1" applyAlignment="1">
      <alignment horizontal="right"/>
    </xf>
    <xf numFmtId="2" fontId="0" fillId="0" borderId="0" xfId="0" applyNumberFormat="1" applyFill="1" applyBorder="1" applyAlignment="1">
      <alignment horizontal="right"/>
    </xf>
    <xf numFmtId="2" fontId="0" fillId="0" borderId="3" xfId="0" applyNumberFormat="1" applyFill="1" applyBorder="1" applyAlignment="1">
      <alignment horizontal="right"/>
    </xf>
    <xf numFmtId="2" fontId="0" fillId="0" borderId="55" xfId="0" applyNumberFormat="1" applyFill="1" applyBorder="1" applyAlignment="1">
      <alignment/>
    </xf>
    <xf numFmtId="2" fontId="0" fillId="0" borderId="0" xfId="0" applyNumberFormat="1" applyFill="1" applyBorder="1" applyAlignment="1">
      <alignment/>
    </xf>
    <xf numFmtId="2" fontId="2" fillId="0" borderId="42" xfId="0" applyNumberFormat="1" applyFont="1" applyFill="1" applyBorder="1" applyAlignment="1">
      <alignment/>
    </xf>
    <xf numFmtId="2" fontId="0" fillId="0" borderId="0" xfId="0" applyNumberFormat="1" applyFont="1" applyFill="1" applyBorder="1" applyAlignment="1">
      <alignment horizontal="right"/>
    </xf>
    <xf numFmtId="2" fontId="0" fillId="0" borderId="42" xfId="0" applyNumberFormat="1" applyFill="1" applyBorder="1" applyAlignment="1">
      <alignment/>
    </xf>
    <xf numFmtId="2" fontId="12" fillId="0" borderId="55" xfId="0" applyNumberFormat="1" applyFont="1" applyFill="1" applyBorder="1" applyAlignment="1">
      <alignment/>
    </xf>
    <xf numFmtId="2" fontId="12" fillId="0" borderId="0" xfId="0" applyNumberFormat="1" applyFont="1" applyFill="1" applyBorder="1" applyAlignment="1">
      <alignment/>
    </xf>
    <xf numFmtId="2" fontId="12" fillId="0" borderId="0" xfId="0" applyNumberFormat="1" applyFont="1" applyFill="1" applyBorder="1" applyAlignment="1">
      <alignment horizontal="right"/>
    </xf>
    <xf numFmtId="2" fontId="0" fillId="0" borderId="56" xfId="0" applyNumberFormat="1" applyFill="1" applyBorder="1" applyAlignment="1">
      <alignment/>
    </xf>
    <xf numFmtId="2" fontId="8" fillId="0" borderId="0" xfId="0" applyNumberFormat="1" applyFont="1" applyFill="1" applyBorder="1" applyAlignment="1">
      <alignment/>
    </xf>
    <xf numFmtId="2" fontId="12" fillId="0" borderId="0" xfId="0" applyNumberFormat="1" applyFont="1" applyFill="1" applyAlignment="1">
      <alignment/>
    </xf>
    <xf numFmtId="2" fontId="12" fillId="0" borderId="56" xfId="0" applyNumberFormat="1" applyFont="1" applyFill="1" applyBorder="1" applyAlignment="1">
      <alignment/>
    </xf>
    <xf numFmtId="2" fontId="0" fillId="0" borderId="0" xfId="0" applyNumberFormat="1" applyFont="1" applyFill="1" applyBorder="1" applyAlignment="1">
      <alignment/>
    </xf>
    <xf numFmtId="2" fontId="14" fillId="0" borderId="0" xfId="0" applyNumberFormat="1" applyFont="1" applyFill="1" applyBorder="1" applyAlignment="1">
      <alignment/>
    </xf>
    <xf numFmtId="2" fontId="0" fillId="0" borderId="55" xfId="0" applyNumberFormat="1" applyFont="1" applyFill="1" applyBorder="1" applyAlignment="1">
      <alignment wrapText="1"/>
    </xf>
    <xf numFmtId="2" fontId="0" fillId="0" borderId="42" xfId="0" applyNumberFormat="1" applyFont="1" applyFill="1" applyBorder="1" applyAlignment="1">
      <alignment/>
    </xf>
    <xf numFmtId="2" fontId="0" fillId="0" borderId="56" xfId="0" applyNumberFormat="1" applyFont="1" applyFill="1" applyBorder="1" applyAlignment="1">
      <alignment/>
    </xf>
    <xf numFmtId="2" fontId="0" fillId="0" borderId="55" xfId="0" applyNumberFormat="1" applyFont="1" applyFill="1" applyBorder="1" applyAlignment="1">
      <alignment/>
    </xf>
    <xf numFmtId="2" fontId="2" fillId="0" borderId="55" xfId="0" applyNumberFormat="1" applyFont="1" applyFill="1" applyBorder="1" applyAlignment="1">
      <alignment/>
    </xf>
    <xf numFmtId="2" fontId="2" fillId="0" borderId="42" xfId="0" applyNumberFormat="1" applyFont="1" applyFill="1" applyBorder="1" applyAlignment="1">
      <alignment horizontal="right"/>
    </xf>
    <xf numFmtId="2" fontId="0" fillId="0" borderId="42" xfId="0" applyNumberFormat="1" applyFont="1" applyFill="1" applyBorder="1" applyAlignment="1">
      <alignment horizontal="right"/>
    </xf>
    <xf numFmtId="2" fontId="2" fillId="0" borderId="57" xfId="0" applyNumberFormat="1" applyFont="1" applyFill="1" applyBorder="1" applyAlignment="1">
      <alignment/>
    </xf>
    <xf numFmtId="2" fontId="13" fillId="0" borderId="1" xfId="0" applyNumberFormat="1" applyFont="1" applyFill="1" applyBorder="1" applyAlignment="1">
      <alignment/>
    </xf>
    <xf numFmtId="2" fontId="13" fillId="0" borderId="58" xfId="0" applyNumberFormat="1" applyFont="1" applyFill="1" applyBorder="1" applyAlignment="1">
      <alignment/>
    </xf>
    <xf numFmtId="2" fontId="2" fillId="0" borderId="1" xfId="0" applyNumberFormat="1" applyFont="1" applyFill="1" applyBorder="1" applyAlignment="1">
      <alignment/>
    </xf>
    <xf numFmtId="2" fontId="2" fillId="0" borderId="59" xfId="0" applyNumberFormat="1" applyFont="1" applyFill="1" applyBorder="1" applyAlignment="1">
      <alignment/>
    </xf>
    <xf numFmtId="2" fontId="2" fillId="0" borderId="60" xfId="0" applyNumberFormat="1" applyFont="1" applyFill="1" applyBorder="1" applyAlignment="1">
      <alignment/>
    </xf>
    <xf numFmtId="2" fontId="2" fillId="0" borderId="61" xfId="0" applyNumberFormat="1" applyFont="1" applyFill="1" applyBorder="1" applyAlignment="1">
      <alignment/>
    </xf>
    <xf numFmtId="2" fontId="2" fillId="0" borderId="62" xfId="0" applyNumberFormat="1" applyFont="1" applyFill="1" applyBorder="1" applyAlignment="1">
      <alignment/>
    </xf>
    <xf numFmtId="2" fontId="3" fillId="0" borderId="1" xfId="0" applyNumberFormat="1" applyFont="1" applyFill="1" applyBorder="1" applyAlignment="1">
      <alignment/>
    </xf>
    <xf numFmtId="2" fontId="0" fillId="0" borderId="42" xfId="0" applyNumberFormat="1" applyFill="1" applyBorder="1" applyAlignment="1">
      <alignment horizontal="right"/>
    </xf>
    <xf numFmtId="2" fontId="2" fillId="0" borderId="0" xfId="0" applyNumberFormat="1" applyFont="1" applyFill="1" applyAlignment="1">
      <alignment/>
    </xf>
    <xf numFmtId="2" fontId="0" fillId="0" borderId="0" xfId="0" applyNumberFormat="1" applyFont="1" applyFill="1" applyAlignment="1">
      <alignment/>
    </xf>
    <xf numFmtId="2" fontId="0" fillId="0" borderId="55" xfId="0" applyNumberFormat="1" applyFill="1" applyBorder="1" applyAlignment="1">
      <alignment wrapText="1"/>
    </xf>
    <xf numFmtId="2" fontId="14" fillId="0" borderId="0" xfId="0" applyNumberFormat="1" applyFont="1" applyFill="1" applyBorder="1" applyAlignment="1">
      <alignment horizontal="right"/>
    </xf>
    <xf numFmtId="2" fontId="2" fillId="0" borderId="63" xfId="0" applyNumberFormat="1" applyFont="1" applyFill="1" applyBorder="1" applyAlignment="1">
      <alignment/>
    </xf>
    <xf numFmtId="2" fontId="2" fillId="0" borderId="64" xfId="0" applyNumberFormat="1" applyFont="1" applyFill="1" applyBorder="1" applyAlignment="1">
      <alignment/>
    </xf>
    <xf numFmtId="2" fontId="0" fillId="0" borderId="37" xfId="0" applyNumberFormat="1" applyFill="1" applyBorder="1" applyAlignment="1">
      <alignment/>
    </xf>
    <xf numFmtId="2" fontId="0" fillId="0" borderId="38" xfId="0" applyNumberFormat="1" applyFill="1" applyBorder="1" applyAlignment="1">
      <alignment/>
    </xf>
    <xf numFmtId="2" fontId="0" fillId="0" borderId="41" xfId="0" applyNumberFormat="1" applyFill="1" applyBorder="1" applyAlignment="1">
      <alignment/>
    </xf>
    <xf numFmtId="2" fontId="0" fillId="0" borderId="41" xfId="0" applyNumberFormat="1" applyFill="1" applyBorder="1" applyAlignment="1">
      <alignment wrapText="1"/>
    </xf>
    <xf numFmtId="2" fontId="12" fillId="0" borderId="41" xfId="0" applyNumberFormat="1" applyFont="1" applyFill="1" applyBorder="1" applyAlignment="1">
      <alignment/>
    </xf>
    <xf numFmtId="2" fontId="13" fillId="0" borderId="0" xfId="0" applyNumberFormat="1" applyFont="1" applyFill="1" applyAlignment="1">
      <alignment/>
    </xf>
    <xf numFmtId="2" fontId="0" fillId="0" borderId="0" xfId="0" applyNumberFormat="1" applyFill="1" applyAlignment="1">
      <alignment wrapText="1"/>
    </xf>
    <xf numFmtId="2" fontId="0" fillId="0" borderId="0" xfId="0" applyNumberFormat="1" applyFill="1" applyBorder="1" applyAlignment="1">
      <alignment wrapText="1"/>
    </xf>
    <xf numFmtId="2" fontId="0" fillId="0" borderId="57" xfId="0" applyNumberFormat="1" applyFill="1" applyBorder="1" applyAlignment="1">
      <alignment wrapText="1"/>
    </xf>
    <xf numFmtId="2" fontId="0" fillId="0" borderId="1" xfId="0" applyNumberFormat="1" applyFill="1" applyBorder="1" applyAlignment="1">
      <alignment wrapText="1"/>
    </xf>
    <xf numFmtId="2" fontId="0" fillId="0" borderId="58" xfId="0" applyNumberFormat="1" applyFill="1" applyBorder="1" applyAlignment="1">
      <alignment/>
    </xf>
    <xf numFmtId="2" fontId="2" fillId="0" borderId="65" xfId="0" applyNumberFormat="1" applyFont="1" applyFill="1" applyBorder="1" applyAlignment="1">
      <alignment/>
    </xf>
    <xf numFmtId="2" fontId="2" fillId="0" borderId="66" xfId="0" applyNumberFormat="1" applyFont="1" applyFill="1" applyBorder="1" applyAlignment="1">
      <alignment/>
    </xf>
    <xf numFmtId="2" fontId="2" fillId="0" borderId="52" xfId="0" applyNumberFormat="1" applyFont="1" applyFill="1" applyBorder="1" applyAlignment="1">
      <alignment/>
    </xf>
    <xf numFmtId="2" fontId="2" fillId="0" borderId="67" xfId="0" applyNumberFormat="1" applyFont="1" applyFill="1" applyBorder="1" applyAlignment="1">
      <alignment/>
    </xf>
    <xf numFmtId="2" fontId="4" fillId="0" borderId="42" xfId="0" applyNumberFormat="1" applyFont="1" applyFill="1" applyBorder="1" applyAlignment="1">
      <alignment/>
    </xf>
    <xf numFmtId="2" fontId="3" fillId="0" borderId="68" xfId="0" applyNumberFormat="1" applyFont="1" applyFill="1" applyBorder="1" applyAlignment="1">
      <alignment/>
    </xf>
    <xf numFmtId="2" fontId="3" fillId="0" borderId="0" xfId="0" applyNumberFormat="1" applyFont="1" applyFill="1" applyBorder="1" applyAlignment="1">
      <alignment/>
    </xf>
    <xf numFmtId="2" fontId="0" fillId="0" borderId="69" xfId="0" applyNumberFormat="1" applyFill="1" applyBorder="1" applyAlignment="1">
      <alignment horizontal="right"/>
    </xf>
    <xf numFmtId="2" fontId="0" fillId="0" borderId="10" xfId="0" applyNumberFormat="1" applyFill="1" applyBorder="1" applyAlignment="1">
      <alignment horizontal="right"/>
    </xf>
    <xf numFmtId="2" fontId="2" fillId="0" borderId="69" xfId="0" applyNumberFormat="1" applyFont="1" applyFill="1" applyBorder="1" applyAlignment="1">
      <alignment/>
    </xf>
    <xf numFmtId="2" fontId="2" fillId="0" borderId="0" xfId="0" applyNumberFormat="1" applyFont="1" applyFill="1" applyBorder="1" applyAlignment="1">
      <alignment/>
    </xf>
    <xf numFmtId="2" fontId="2" fillId="0" borderId="0" xfId="0" applyNumberFormat="1" applyFont="1" applyFill="1" applyBorder="1" applyAlignment="1">
      <alignment horizontal="right"/>
    </xf>
    <xf numFmtId="2" fontId="0" fillId="0" borderId="41" xfId="0" applyNumberFormat="1" applyFont="1" applyFill="1" applyBorder="1" applyAlignment="1">
      <alignment/>
    </xf>
    <xf numFmtId="2" fontId="2" fillId="0" borderId="41" xfId="0" applyNumberFormat="1" applyFont="1" applyFill="1" applyBorder="1" applyAlignment="1">
      <alignment/>
    </xf>
    <xf numFmtId="2" fontId="2" fillId="0" borderId="2" xfId="0" applyNumberFormat="1" applyFont="1" applyFill="1" applyBorder="1" applyAlignment="1">
      <alignment/>
    </xf>
    <xf numFmtId="2" fontId="2" fillId="0" borderId="70" xfId="0" applyNumberFormat="1" applyFont="1" applyFill="1" applyBorder="1" applyAlignment="1">
      <alignment/>
    </xf>
    <xf numFmtId="2" fontId="0" fillId="0" borderId="0" xfId="0" applyNumberFormat="1" applyFont="1" applyFill="1" applyBorder="1" applyAlignment="1">
      <alignment/>
    </xf>
    <xf numFmtId="2" fontId="2" fillId="0" borderId="71" xfId="0" applyNumberFormat="1" applyFont="1" applyFill="1" applyBorder="1" applyAlignment="1">
      <alignment/>
    </xf>
    <xf numFmtId="2" fontId="0" fillId="6" borderId="0" xfId="0" applyNumberFormat="1" applyFill="1" applyAlignment="1">
      <alignment/>
    </xf>
    <xf numFmtId="2" fontId="0" fillId="6" borderId="56" xfId="0" applyNumberFormat="1" applyFill="1" applyBorder="1" applyAlignment="1">
      <alignment/>
    </xf>
    <xf numFmtId="2" fontId="12" fillId="6" borderId="0" xfId="0" applyNumberFormat="1" applyFont="1" applyFill="1" applyAlignment="1">
      <alignment/>
    </xf>
    <xf numFmtId="2" fontId="12" fillId="6" borderId="56" xfId="0" applyNumberFormat="1" applyFont="1" applyFill="1" applyBorder="1" applyAlignment="1">
      <alignment/>
    </xf>
    <xf numFmtId="2" fontId="0" fillId="6" borderId="0" xfId="0" applyNumberFormat="1" applyFill="1" applyBorder="1" applyAlignment="1">
      <alignment/>
    </xf>
    <xf numFmtId="2" fontId="0" fillId="6" borderId="0" xfId="0" applyNumberFormat="1" applyFont="1" applyFill="1" applyBorder="1" applyAlignment="1">
      <alignment/>
    </xf>
    <xf numFmtId="2" fontId="0" fillId="6" borderId="0" xfId="0" applyNumberFormat="1" applyFont="1" applyFill="1" applyBorder="1" applyAlignment="1">
      <alignment horizontal="right"/>
    </xf>
    <xf numFmtId="2" fontId="2" fillId="6" borderId="55" xfId="0" applyNumberFormat="1" applyFont="1" applyFill="1" applyBorder="1" applyAlignment="1">
      <alignment/>
    </xf>
    <xf numFmtId="2" fontId="2" fillId="0" borderId="55" xfId="0" applyNumberFormat="1" applyFont="1" applyFill="1" applyBorder="1" applyAlignment="1">
      <alignment horizontal="left"/>
    </xf>
    <xf numFmtId="2" fontId="2" fillId="6" borderId="0" xfId="0" applyNumberFormat="1" applyFont="1" applyFill="1" applyAlignment="1">
      <alignment/>
    </xf>
    <xf numFmtId="2" fontId="4" fillId="0" borderId="1" xfId="0" applyNumberFormat="1" applyFont="1" applyFill="1" applyBorder="1" applyAlignment="1">
      <alignment/>
    </xf>
    <xf numFmtId="2" fontId="4" fillId="0" borderId="37" xfId="0" applyNumberFormat="1" applyFont="1" applyFill="1" applyBorder="1" applyAlignment="1">
      <alignment/>
    </xf>
    <xf numFmtId="2" fontId="3" fillId="0" borderId="18" xfId="0" applyNumberFormat="1" applyFont="1" applyFill="1" applyBorder="1" applyAlignment="1">
      <alignment horizontal="center"/>
    </xf>
    <xf numFmtId="0" fontId="0" fillId="0" borderId="11" xfId="0" applyFill="1" applyBorder="1" applyAlignment="1">
      <alignment/>
    </xf>
    <xf numFmtId="0" fontId="3" fillId="2" borderId="0" xfId="0" applyFont="1" applyFill="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O144"/>
  <sheetViews>
    <sheetView tabSelected="1" zoomScale="75" zoomScaleNormal="75" workbookViewId="0" topLeftCell="A1">
      <selection activeCell="A121" sqref="A121"/>
    </sheetView>
  </sheetViews>
  <sheetFormatPr defaultColWidth="8.8515625" defaultRowHeight="12.75"/>
  <cols>
    <col min="1" max="1" width="52.7109375" style="90" customWidth="1"/>
    <col min="2" max="5" width="10.8515625" style="90" customWidth="1"/>
    <col min="6" max="6" width="40.7109375" style="90" customWidth="1"/>
    <col min="7" max="7" width="7.8515625" style="90" customWidth="1"/>
    <col min="8" max="9" width="17.421875" style="90" customWidth="1"/>
    <col min="10" max="16384" width="8.8515625" style="90" customWidth="1"/>
  </cols>
  <sheetData>
    <row r="1" spans="1:13" ht="15.75">
      <c r="A1" s="201" t="s">
        <v>164</v>
      </c>
      <c r="B1" s="202"/>
      <c r="C1" s="202"/>
      <c r="D1" s="202"/>
      <c r="E1" s="202"/>
      <c r="F1" s="202"/>
      <c r="G1" s="202"/>
      <c r="H1" s="202"/>
      <c r="I1" s="89"/>
      <c r="J1" s="89"/>
      <c r="K1" s="89"/>
      <c r="L1" s="89"/>
      <c r="M1" s="89"/>
    </row>
    <row r="2" spans="1:13" ht="12.75">
      <c r="A2" s="112" t="s">
        <v>163</v>
      </c>
      <c r="B2" s="113"/>
      <c r="C2" s="113"/>
      <c r="D2" s="113"/>
      <c r="E2" s="113"/>
      <c r="F2" s="113"/>
      <c r="G2" s="113"/>
      <c r="H2" s="113"/>
      <c r="I2" s="113"/>
      <c r="J2" s="89"/>
      <c r="K2" s="89"/>
      <c r="L2" s="89"/>
      <c r="M2" s="89"/>
    </row>
    <row r="3" spans="1:15" s="91" customFormat="1" ht="12.75">
      <c r="A3" s="114"/>
      <c r="B3" s="115" t="s">
        <v>81</v>
      </c>
      <c r="C3" s="115"/>
      <c r="D3" s="115"/>
      <c r="E3" s="115"/>
      <c r="F3" s="200" t="s">
        <v>37</v>
      </c>
      <c r="G3" s="200"/>
      <c r="H3" s="116"/>
      <c r="I3" s="115" t="s">
        <v>199</v>
      </c>
      <c r="J3" s="115"/>
      <c r="K3" s="199" t="s">
        <v>133</v>
      </c>
      <c r="L3" s="199"/>
      <c r="M3" s="175"/>
      <c r="N3" s="101"/>
      <c r="O3" s="101"/>
    </row>
    <row r="4" spans="1:15" s="92" customFormat="1" ht="15.75">
      <c r="A4" s="117" t="s">
        <v>167</v>
      </c>
      <c r="B4" s="118" t="s">
        <v>26</v>
      </c>
      <c r="C4" s="118"/>
      <c r="D4" s="118"/>
      <c r="E4" s="118" t="s">
        <v>30</v>
      </c>
      <c r="F4" s="118" t="s">
        <v>66</v>
      </c>
      <c r="G4" s="118"/>
      <c r="H4" s="119" t="s">
        <v>168</v>
      </c>
      <c r="I4" s="176" t="s">
        <v>168</v>
      </c>
      <c r="J4" s="152"/>
      <c r="K4" s="152" t="s">
        <v>66</v>
      </c>
      <c r="L4" s="177"/>
      <c r="M4" s="119" t="s">
        <v>168</v>
      </c>
      <c r="N4" s="102"/>
      <c r="O4" s="102"/>
    </row>
    <row r="5" spans="1:15" s="93" customFormat="1" ht="12.75">
      <c r="A5" s="120" t="s">
        <v>170</v>
      </c>
      <c r="B5" s="121" t="s">
        <v>171</v>
      </c>
      <c r="C5" s="121" t="s">
        <v>172</v>
      </c>
      <c r="D5" s="121" t="s">
        <v>171</v>
      </c>
      <c r="E5" s="121" t="s">
        <v>172</v>
      </c>
      <c r="F5" s="103"/>
      <c r="G5" s="121" t="s">
        <v>171</v>
      </c>
      <c r="H5" s="122" t="s">
        <v>172</v>
      </c>
      <c r="I5" s="178"/>
      <c r="J5" s="121"/>
      <c r="K5" s="121"/>
      <c r="L5" s="179" t="s">
        <v>171</v>
      </c>
      <c r="M5" s="122" t="s">
        <v>172</v>
      </c>
      <c r="N5" s="103"/>
      <c r="O5" s="103"/>
    </row>
    <row r="6" spans="1:15" ht="12.75">
      <c r="A6" s="123"/>
      <c r="B6" s="124"/>
      <c r="C6" s="124"/>
      <c r="D6" s="124"/>
      <c r="E6" s="124"/>
      <c r="F6" s="104" t="s">
        <v>41</v>
      </c>
      <c r="G6" s="105"/>
      <c r="H6" s="125">
        <v>-32</v>
      </c>
      <c r="I6" s="180">
        <f aca="true" t="shared" si="0" ref="I6:I37">M6-H6</f>
        <v>-27</v>
      </c>
      <c r="J6" s="105"/>
      <c r="K6" s="105" t="s">
        <v>41</v>
      </c>
      <c r="L6" s="105"/>
      <c r="M6" s="125">
        <v>-59</v>
      </c>
      <c r="N6" s="89"/>
      <c r="O6" s="89"/>
    </row>
    <row r="7" spans="1:15" ht="12.75">
      <c r="A7" s="141" t="s">
        <v>221</v>
      </c>
      <c r="B7" s="124">
        <f>0.3*15*1.58</f>
        <v>7.11</v>
      </c>
      <c r="C7" s="124">
        <f>0.5*25*1.58</f>
        <v>19.75</v>
      </c>
      <c r="D7" s="121">
        <v>100</v>
      </c>
      <c r="E7" s="126"/>
      <c r="F7" s="89" t="s">
        <v>40</v>
      </c>
      <c r="G7" s="124"/>
      <c r="H7" s="127">
        <v>-5</v>
      </c>
      <c r="I7" s="180">
        <f t="shared" si="0"/>
        <v>-3</v>
      </c>
      <c r="J7" s="124"/>
      <c r="K7" s="124" t="s">
        <v>65</v>
      </c>
      <c r="L7" s="124"/>
      <c r="M7" s="127">
        <v>-8</v>
      </c>
      <c r="N7" s="89"/>
      <c r="O7" s="89"/>
    </row>
    <row r="8" spans="1:15" ht="12.75">
      <c r="A8" s="128" t="s">
        <v>222</v>
      </c>
      <c r="B8" s="129">
        <f>5*B7</f>
        <v>35.550000000000004</v>
      </c>
      <c r="C8" s="129">
        <f>5*C7</f>
        <v>98.75</v>
      </c>
      <c r="D8" s="129">
        <f>5*D7</f>
        <v>500</v>
      </c>
      <c r="E8" s="130"/>
      <c r="F8" s="89" t="s">
        <v>39</v>
      </c>
      <c r="G8" s="124"/>
      <c r="H8" s="127">
        <v>-16</v>
      </c>
      <c r="I8" s="180">
        <f t="shared" si="0"/>
        <v>-13</v>
      </c>
      <c r="J8" s="124"/>
      <c r="K8" s="124" t="s">
        <v>39</v>
      </c>
      <c r="L8" s="124"/>
      <c r="M8" s="127">
        <v>-29</v>
      </c>
      <c r="N8" s="89"/>
      <c r="O8" s="89"/>
    </row>
    <row r="9" spans="1:15" ht="12.75">
      <c r="A9" s="89"/>
      <c r="B9" s="131"/>
      <c r="C9" s="124"/>
      <c r="D9" s="124"/>
      <c r="E9" s="124"/>
      <c r="F9" s="89" t="s">
        <v>38</v>
      </c>
      <c r="G9" s="124"/>
      <c r="H9" s="127">
        <v>-11</v>
      </c>
      <c r="I9" s="180">
        <f t="shared" si="0"/>
        <v>-11</v>
      </c>
      <c r="J9" s="124"/>
      <c r="K9" s="124" t="s">
        <v>38</v>
      </c>
      <c r="L9" s="124"/>
      <c r="M9" s="127">
        <v>-22</v>
      </c>
      <c r="N9" s="89"/>
      <c r="O9" s="89"/>
    </row>
    <row r="10" spans="1:15" ht="12.75">
      <c r="A10" s="141" t="s">
        <v>8</v>
      </c>
      <c r="B10" s="124"/>
      <c r="C10" s="132"/>
      <c r="D10" s="132"/>
      <c r="E10" s="132"/>
      <c r="F10" s="104" t="s">
        <v>180</v>
      </c>
      <c r="G10" s="124"/>
      <c r="H10" s="125">
        <v>-5.6</v>
      </c>
      <c r="I10" s="180">
        <f t="shared" si="0"/>
        <v>-1.4000000000000004</v>
      </c>
      <c r="J10" s="105"/>
      <c r="K10" s="181" t="s">
        <v>180</v>
      </c>
      <c r="L10" s="181"/>
      <c r="M10" s="125">
        <v>-7</v>
      </c>
      <c r="N10" s="89"/>
      <c r="O10" s="89"/>
    </row>
    <row r="11" spans="1:15" ht="12.75">
      <c r="A11" s="198" t="s">
        <v>175</v>
      </c>
      <c r="B11" s="190">
        <f>0.99/4</f>
        <v>0.2475</v>
      </c>
      <c r="C11" s="189"/>
      <c r="D11" s="189"/>
      <c r="E11" s="189"/>
      <c r="F11" s="104" t="s">
        <v>119</v>
      </c>
      <c r="G11" s="105"/>
      <c r="H11" s="125">
        <v>-79</v>
      </c>
      <c r="I11" s="180">
        <f t="shared" si="0"/>
        <v>-77</v>
      </c>
      <c r="J11" s="105"/>
      <c r="K11" s="181" t="s">
        <v>119</v>
      </c>
      <c r="L11" s="181"/>
      <c r="M11" s="125">
        <f>SUM(M12:M16)</f>
        <v>-156</v>
      </c>
      <c r="N11" s="89"/>
      <c r="O11" s="89"/>
    </row>
    <row r="12" spans="1:15" ht="12.75">
      <c r="A12" s="191" t="s">
        <v>176</v>
      </c>
      <c r="B12" s="192">
        <f>5*B11</f>
        <v>1.2375</v>
      </c>
      <c r="C12" s="189"/>
      <c r="D12" s="189"/>
      <c r="E12" s="189"/>
      <c r="F12" s="89" t="s">
        <v>120</v>
      </c>
      <c r="G12" s="124"/>
      <c r="H12" s="127">
        <v>-27</v>
      </c>
      <c r="I12" s="180">
        <f t="shared" si="0"/>
        <v>-24</v>
      </c>
      <c r="J12" s="124"/>
      <c r="K12" s="124" t="s">
        <v>120</v>
      </c>
      <c r="L12" s="124"/>
      <c r="M12" s="127">
        <v>-51</v>
      </c>
      <c r="N12" s="89"/>
      <c r="O12" s="89"/>
    </row>
    <row r="13" spans="1:13" s="104" customFormat="1" ht="12.75">
      <c r="A13" s="104" t="s">
        <v>9</v>
      </c>
      <c r="B13" s="105"/>
      <c r="G13" s="105"/>
      <c r="H13" s="125"/>
      <c r="I13" s="180"/>
      <c r="J13" s="105"/>
      <c r="K13" s="105"/>
      <c r="L13" s="105"/>
      <c r="M13" s="125"/>
    </row>
    <row r="14" spans="1:15" ht="12.75">
      <c r="A14" s="123" t="s">
        <v>85</v>
      </c>
      <c r="B14" s="124"/>
      <c r="C14" s="135">
        <v>1</v>
      </c>
      <c r="D14" s="132"/>
      <c r="E14" s="132"/>
      <c r="F14" s="89" t="s">
        <v>121</v>
      </c>
      <c r="G14" s="124"/>
      <c r="H14" s="127">
        <v>0</v>
      </c>
      <c r="I14" s="180">
        <f t="shared" si="0"/>
        <v>-1</v>
      </c>
      <c r="J14" s="124"/>
      <c r="K14" s="124" t="s">
        <v>121</v>
      </c>
      <c r="L14" s="124"/>
      <c r="M14" s="127">
        <v>-1</v>
      </c>
      <c r="N14" s="89"/>
      <c r="O14" s="89"/>
    </row>
    <row r="15" spans="1:15" ht="12.75">
      <c r="A15" s="123" t="s">
        <v>147</v>
      </c>
      <c r="B15" s="136">
        <f>0.06/5</f>
        <v>0.012</v>
      </c>
      <c r="C15" s="136">
        <f>0.3/5</f>
        <v>0.06</v>
      </c>
      <c r="D15" s="89"/>
      <c r="E15" s="89"/>
      <c r="F15" s="89" t="s">
        <v>122</v>
      </c>
      <c r="G15" s="124"/>
      <c r="H15" s="127">
        <v>-4</v>
      </c>
      <c r="I15" s="180">
        <f t="shared" si="0"/>
        <v>1</v>
      </c>
      <c r="J15" s="124"/>
      <c r="K15" s="124" t="s">
        <v>122</v>
      </c>
      <c r="L15" s="124"/>
      <c r="M15" s="127">
        <v>-3</v>
      </c>
      <c r="N15" s="89"/>
      <c r="O15" s="89"/>
    </row>
    <row r="16" spans="1:15" ht="12.75">
      <c r="A16" s="123" t="s">
        <v>36</v>
      </c>
      <c r="B16" s="124"/>
      <c r="C16" s="135"/>
      <c r="D16" s="135">
        <v>0.06</v>
      </c>
      <c r="E16" s="135"/>
      <c r="F16" s="89" t="s">
        <v>123</v>
      </c>
      <c r="G16" s="124"/>
      <c r="H16" s="127">
        <v>-48</v>
      </c>
      <c r="I16" s="180">
        <f t="shared" si="0"/>
        <v>-53</v>
      </c>
      <c r="J16" s="124"/>
      <c r="K16" s="124" t="s">
        <v>123</v>
      </c>
      <c r="L16" s="124"/>
      <c r="M16" s="127">
        <v>-101</v>
      </c>
      <c r="N16" s="89"/>
      <c r="O16" s="89"/>
    </row>
    <row r="17" spans="1:15" ht="12.75">
      <c r="A17" s="123" t="s">
        <v>19</v>
      </c>
      <c r="B17" s="124">
        <f>4/5</f>
        <v>0.8</v>
      </c>
      <c r="C17" s="135">
        <f>5/5</f>
        <v>1</v>
      </c>
      <c r="D17" s="135"/>
      <c r="E17" s="126"/>
      <c r="F17" s="104" t="s">
        <v>79</v>
      </c>
      <c r="G17" s="105"/>
      <c r="H17" s="125">
        <v>73.4</v>
      </c>
      <c r="I17" s="180">
        <f t="shared" si="0"/>
        <v>75.1</v>
      </c>
      <c r="J17" s="105"/>
      <c r="K17" s="105" t="s">
        <v>79</v>
      </c>
      <c r="L17" s="181"/>
      <c r="M17" s="125">
        <v>148.5</v>
      </c>
      <c r="N17" s="89"/>
      <c r="O17" s="89"/>
    </row>
    <row r="18" spans="1:15" ht="25.5">
      <c r="A18" s="137" t="s">
        <v>92</v>
      </c>
      <c r="B18" s="136">
        <f>0.08/5</f>
        <v>0.016</v>
      </c>
      <c r="C18" s="136">
        <f>0.2/5</f>
        <v>0.04</v>
      </c>
      <c r="D18" s="89"/>
      <c r="E18" s="89"/>
      <c r="F18" s="106" t="s">
        <v>124</v>
      </c>
      <c r="G18" s="135"/>
      <c r="H18" s="138">
        <v>11</v>
      </c>
      <c r="I18" s="180">
        <f t="shared" si="0"/>
        <v>14</v>
      </c>
      <c r="J18" s="124"/>
      <c r="K18" s="124" t="s">
        <v>124</v>
      </c>
      <c r="L18" s="124"/>
      <c r="M18" s="127">
        <v>25</v>
      </c>
      <c r="N18" s="89"/>
      <c r="O18" s="89"/>
    </row>
    <row r="19" spans="1:15" ht="12.75">
      <c r="A19" s="128" t="s">
        <v>198</v>
      </c>
      <c r="B19" s="89"/>
      <c r="C19" s="129">
        <f>0.3/5</f>
        <v>0.06</v>
      </c>
      <c r="D19" s="129"/>
      <c r="E19" s="129">
        <v>1</v>
      </c>
      <c r="F19" s="106" t="s">
        <v>55</v>
      </c>
      <c r="G19" s="135"/>
      <c r="H19" s="138">
        <v>18</v>
      </c>
      <c r="I19" s="180">
        <f t="shared" si="0"/>
        <v>4</v>
      </c>
      <c r="J19" s="124"/>
      <c r="K19" s="124" t="s">
        <v>55</v>
      </c>
      <c r="L19" s="124"/>
      <c r="M19" s="127">
        <v>22</v>
      </c>
      <c r="N19" s="89"/>
      <c r="O19" s="89"/>
    </row>
    <row r="20" spans="1:15" ht="12.75">
      <c r="A20" s="89"/>
      <c r="B20" s="131"/>
      <c r="C20" s="89"/>
      <c r="D20" s="135"/>
      <c r="E20" s="89"/>
      <c r="F20" s="106" t="s">
        <v>52</v>
      </c>
      <c r="G20" s="135"/>
      <c r="H20" s="138">
        <v>18</v>
      </c>
      <c r="I20" s="180">
        <f t="shared" si="0"/>
        <v>20</v>
      </c>
      <c r="J20" s="124"/>
      <c r="K20" s="124" t="s">
        <v>52</v>
      </c>
      <c r="L20" s="124"/>
      <c r="M20" s="127">
        <v>38</v>
      </c>
      <c r="N20" s="89"/>
      <c r="O20" s="89"/>
    </row>
    <row r="21" spans="1:15" ht="12.75">
      <c r="A21" s="141" t="s">
        <v>166</v>
      </c>
      <c r="B21" s="124"/>
      <c r="C21" s="89"/>
      <c r="D21" s="135"/>
      <c r="E21" s="89"/>
      <c r="F21" s="106" t="s">
        <v>178</v>
      </c>
      <c r="G21" s="135"/>
      <c r="H21" s="138">
        <v>21</v>
      </c>
      <c r="I21" s="180">
        <f t="shared" si="0"/>
        <v>19</v>
      </c>
      <c r="J21" s="124"/>
      <c r="K21" s="124" t="s">
        <v>178</v>
      </c>
      <c r="L21" s="124"/>
      <c r="M21" s="127">
        <v>40</v>
      </c>
      <c r="N21" s="89"/>
      <c r="O21" s="89"/>
    </row>
    <row r="22" spans="1:15" ht="12.75">
      <c r="A22" s="123" t="s">
        <v>86</v>
      </c>
      <c r="B22" s="124"/>
      <c r="C22" s="124">
        <v>1.6</v>
      </c>
      <c r="D22" s="132"/>
      <c r="E22" s="132"/>
      <c r="F22" s="106" t="s">
        <v>179</v>
      </c>
      <c r="G22" s="135"/>
      <c r="H22" s="138">
        <v>6</v>
      </c>
      <c r="I22" s="180">
        <f t="shared" si="0"/>
        <v>17</v>
      </c>
      <c r="J22" s="124"/>
      <c r="K22" s="124" t="s">
        <v>179</v>
      </c>
      <c r="L22" s="124"/>
      <c r="M22" s="127">
        <v>23</v>
      </c>
      <c r="N22" s="89"/>
      <c r="O22" s="89"/>
    </row>
    <row r="23" spans="1:15" ht="12.75">
      <c r="A23" s="123" t="s">
        <v>33</v>
      </c>
      <c r="B23" s="124"/>
      <c r="C23" s="124">
        <f>0.188/5</f>
        <v>0.0376</v>
      </c>
      <c r="D23" s="124"/>
      <c r="E23" s="124"/>
      <c r="F23" s="104" t="s">
        <v>154</v>
      </c>
      <c r="G23" s="105"/>
      <c r="H23" s="125">
        <v>19.1</v>
      </c>
      <c r="I23" s="180">
        <f t="shared" si="0"/>
        <v>16.564999999999998</v>
      </c>
      <c r="J23" s="105"/>
      <c r="K23" s="105" t="s">
        <v>154</v>
      </c>
      <c r="L23" s="105"/>
      <c r="M23" s="125">
        <v>35.665</v>
      </c>
      <c r="N23" s="89"/>
      <c r="O23" s="89"/>
    </row>
    <row r="24" spans="1:15" ht="12.75">
      <c r="A24" s="89"/>
      <c r="B24" s="139"/>
      <c r="C24" s="135"/>
      <c r="D24" s="135"/>
      <c r="E24" s="135"/>
      <c r="F24" s="106" t="s">
        <v>134</v>
      </c>
      <c r="G24" s="135"/>
      <c r="H24" s="138">
        <v>6.9</v>
      </c>
      <c r="I24" s="180">
        <f t="shared" si="0"/>
        <v>12.6</v>
      </c>
      <c r="J24" s="124"/>
      <c r="K24" s="135" t="s">
        <v>134</v>
      </c>
      <c r="L24" s="135"/>
      <c r="M24" s="138">
        <v>19.5</v>
      </c>
      <c r="N24" s="89"/>
      <c r="O24" s="89"/>
    </row>
    <row r="25" spans="1:15" ht="12.75">
      <c r="A25" s="89"/>
      <c r="B25" s="139"/>
      <c r="C25" s="89"/>
      <c r="D25" s="135"/>
      <c r="E25" s="135"/>
      <c r="F25" s="106" t="s">
        <v>136</v>
      </c>
      <c r="G25" s="135"/>
      <c r="H25" s="138">
        <v>1.171</v>
      </c>
      <c r="I25" s="180">
        <f t="shared" si="0"/>
        <v>0.857</v>
      </c>
      <c r="J25" s="124"/>
      <c r="K25" s="135" t="s">
        <v>136</v>
      </c>
      <c r="L25" s="135"/>
      <c r="M25" s="138">
        <v>2.028</v>
      </c>
      <c r="N25" s="89"/>
      <c r="O25" s="89"/>
    </row>
    <row r="26" spans="1:15" ht="12.75">
      <c r="A26" s="140"/>
      <c r="B26" s="135"/>
      <c r="C26" s="135"/>
      <c r="D26" s="135"/>
      <c r="E26" s="135"/>
      <c r="F26" s="106" t="s">
        <v>137</v>
      </c>
      <c r="G26" s="135"/>
      <c r="H26" s="138">
        <v>0.003</v>
      </c>
      <c r="I26" s="180">
        <f t="shared" si="0"/>
        <v>0.005999999999999999</v>
      </c>
      <c r="J26" s="124"/>
      <c r="K26" s="135" t="s">
        <v>137</v>
      </c>
      <c r="L26" s="135"/>
      <c r="M26" s="138">
        <v>0.009</v>
      </c>
      <c r="N26" s="89"/>
      <c r="O26" s="89"/>
    </row>
    <row r="27" spans="1:15" ht="12.75">
      <c r="A27" s="137"/>
      <c r="B27" s="135"/>
      <c r="C27" s="135"/>
      <c r="D27" s="135"/>
      <c r="E27" s="135"/>
      <c r="F27" s="106" t="s">
        <v>138</v>
      </c>
      <c r="G27" s="135"/>
      <c r="H27" s="138">
        <v>0.002</v>
      </c>
      <c r="I27" s="180">
        <f t="shared" si="0"/>
        <v>0.002</v>
      </c>
      <c r="J27" s="124"/>
      <c r="K27" s="135" t="s">
        <v>138</v>
      </c>
      <c r="L27" s="135"/>
      <c r="M27" s="138">
        <v>0.004</v>
      </c>
      <c r="N27" s="89"/>
      <c r="O27" s="89"/>
    </row>
    <row r="28" spans="1:15" ht="12.75">
      <c r="A28" s="140"/>
      <c r="B28" s="135"/>
      <c r="C28" s="135"/>
      <c r="D28" s="135"/>
      <c r="E28" s="135"/>
      <c r="F28" s="106" t="s">
        <v>139</v>
      </c>
      <c r="G28" s="135"/>
      <c r="H28" s="138">
        <v>11</v>
      </c>
      <c r="I28" s="180">
        <f t="shared" si="0"/>
        <v>3.125</v>
      </c>
      <c r="J28" s="124"/>
      <c r="K28" s="135" t="s">
        <v>139</v>
      </c>
      <c r="L28" s="135"/>
      <c r="M28" s="138">
        <v>14.125</v>
      </c>
      <c r="N28" s="89"/>
      <c r="O28" s="89"/>
    </row>
    <row r="29" spans="1:15" ht="12.75">
      <c r="A29" s="123"/>
      <c r="B29" s="124"/>
      <c r="C29" s="124"/>
      <c r="D29" s="124"/>
      <c r="E29" s="124"/>
      <c r="F29" s="104" t="s">
        <v>155</v>
      </c>
      <c r="G29" s="105"/>
      <c r="H29" s="125">
        <v>35.5</v>
      </c>
      <c r="I29" s="180">
        <f t="shared" si="0"/>
        <v>52.400000000000006</v>
      </c>
      <c r="J29" s="105"/>
      <c r="K29" s="105" t="s">
        <v>155</v>
      </c>
      <c r="L29" s="105"/>
      <c r="M29" s="125">
        <f>SUM(M30:M31)</f>
        <v>87.9</v>
      </c>
      <c r="N29" s="89"/>
      <c r="O29" s="89"/>
    </row>
    <row r="30" spans="1:15" ht="12.75">
      <c r="A30" s="123"/>
      <c r="B30" s="124"/>
      <c r="C30" s="124"/>
      <c r="D30" s="124"/>
      <c r="E30" s="124"/>
      <c r="F30" s="106" t="s">
        <v>58</v>
      </c>
      <c r="G30" s="105"/>
      <c r="H30" s="125"/>
      <c r="I30" s="180">
        <f t="shared" si="0"/>
        <v>78.7</v>
      </c>
      <c r="J30" s="124"/>
      <c r="K30" s="135" t="s">
        <v>58</v>
      </c>
      <c r="L30" s="105"/>
      <c r="M30" s="138">
        <v>78.7</v>
      </c>
      <c r="N30" s="89"/>
      <c r="O30" s="89"/>
    </row>
    <row r="31" spans="1:15" ht="12.75">
      <c r="A31" s="123"/>
      <c r="B31" s="124"/>
      <c r="C31" s="124"/>
      <c r="D31" s="124"/>
      <c r="E31" s="124"/>
      <c r="F31" s="106" t="s">
        <v>144</v>
      </c>
      <c r="G31" s="105"/>
      <c r="H31" s="125"/>
      <c r="I31" s="180">
        <f t="shared" si="0"/>
        <v>9.2</v>
      </c>
      <c r="J31" s="124"/>
      <c r="K31" s="135" t="s">
        <v>144</v>
      </c>
      <c r="L31" s="105"/>
      <c r="M31" s="138">
        <v>9.2</v>
      </c>
      <c r="N31" s="89"/>
      <c r="O31" s="89"/>
    </row>
    <row r="32" spans="1:15" s="94" customFormat="1" ht="12.75">
      <c r="A32" s="141"/>
      <c r="B32" s="105"/>
      <c r="C32" s="105"/>
      <c r="D32" s="105"/>
      <c r="E32" s="105"/>
      <c r="F32" s="104" t="s">
        <v>156</v>
      </c>
      <c r="G32" s="105"/>
      <c r="H32" s="142">
        <v>14</v>
      </c>
      <c r="I32" s="180">
        <f t="shared" si="0"/>
        <v>36.8</v>
      </c>
      <c r="J32" s="182"/>
      <c r="K32" s="105" t="s">
        <v>156</v>
      </c>
      <c r="L32" s="105"/>
      <c r="M32" s="142">
        <v>50.8</v>
      </c>
      <c r="N32" s="104"/>
      <c r="O32" s="104"/>
    </row>
    <row r="33" spans="1:15" ht="12.75">
      <c r="A33" s="123"/>
      <c r="B33" s="124"/>
      <c r="C33" s="124"/>
      <c r="D33" s="124"/>
      <c r="E33" s="124"/>
      <c r="F33" s="106" t="s">
        <v>57</v>
      </c>
      <c r="G33" s="105"/>
      <c r="H33" s="143">
        <v>10</v>
      </c>
      <c r="I33" s="180">
        <f t="shared" si="0"/>
        <v>32</v>
      </c>
      <c r="J33" s="182"/>
      <c r="K33" s="135" t="s">
        <v>57</v>
      </c>
      <c r="L33" s="105"/>
      <c r="M33" s="143">
        <v>42</v>
      </c>
      <c r="N33" s="89"/>
      <c r="O33" s="89"/>
    </row>
    <row r="34" spans="1:15" ht="12.75">
      <c r="A34" s="123"/>
      <c r="B34" s="124"/>
      <c r="C34" s="124"/>
      <c r="D34" s="124"/>
      <c r="E34" s="124"/>
      <c r="F34" s="106" t="s">
        <v>56</v>
      </c>
      <c r="G34" s="105"/>
      <c r="H34" s="143">
        <v>4</v>
      </c>
      <c r="I34" s="180">
        <f t="shared" si="0"/>
        <v>4.800000000000001</v>
      </c>
      <c r="J34" s="182"/>
      <c r="K34" s="135" t="s">
        <v>56</v>
      </c>
      <c r="L34" s="105"/>
      <c r="M34" s="143">
        <v>8.8</v>
      </c>
      <c r="N34" s="89"/>
      <c r="O34" s="89"/>
    </row>
    <row r="35" spans="1:15" ht="12.75">
      <c r="A35" s="123"/>
      <c r="B35" s="124"/>
      <c r="C35" s="124"/>
      <c r="D35" s="124"/>
      <c r="E35" s="124"/>
      <c r="F35" s="104" t="s">
        <v>157</v>
      </c>
      <c r="G35" s="105"/>
      <c r="H35" s="125">
        <v>0.6</v>
      </c>
      <c r="I35" s="180">
        <f t="shared" si="0"/>
        <v>0.3360000000000001</v>
      </c>
      <c r="J35" s="105"/>
      <c r="K35" s="105" t="s">
        <v>157</v>
      </c>
      <c r="L35" s="105"/>
      <c r="M35" s="125">
        <v>0.936</v>
      </c>
      <c r="N35" s="89"/>
      <c r="O35" s="89"/>
    </row>
    <row r="36" spans="1:15" ht="12.75">
      <c r="A36" s="123"/>
      <c r="B36" s="124"/>
      <c r="C36" s="124"/>
      <c r="D36" s="124"/>
      <c r="E36" s="124"/>
      <c r="F36" s="104" t="s">
        <v>158</v>
      </c>
      <c r="G36" s="105">
        <v>12.8</v>
      </c>
      <c r="H36" s="125"/>
      <c r="I36" s="180">
        <f t="shared" si="0"/>
        <v>0</v>
      </c>
      <c r="J36" s="124"/>
      <c r="K36" s="105" t="s">
        <v>158</v>
      </c>
      <c r="L36" s="105">
        <f>SUM(L37+M38)</f>
        <v>35.2</v>
      </c>
      <c r="M36" s="127"/>
      <c r="N36" s="89"/>
      <c r="O36" s="89"/>
    </row>
    <row r="37" spans="1:15" ht="12.75">
      <c r="A37" s="123"/>
      <c r="B37" s="124"/>
      <c r="C37" s="124"/>
      <c r="D37" s="124"/>
      <c r="E37" s="124"/>
      <c r="F37" s="106" t="s">
        <v>22</v>
      </c>
      <c r="G37" s="135">
        <v>12.8</v>
      </c>
      <c r="H37" s="138"/>
      <c r="I37" s="180">
        <f t="shared" si="0"/>
        <v>0</v>
      </c>
      <c r="J37" s="124"/>
      <c r="K37" s="135" t="s">
        <v>22</v>
      </c>
      <c r="L37" s="135">
        <v>20.2</v>
      </c>
      <c r="M37" s="138"/>
      <c r="N37" s="89"/>
      <c r="O37" s="89"/>
    </row>
    <row r="38" spans="1:15" s="94" customFormat="1" ht="12.75">
      <c r="A38" s="141"/>
      <c r="B38" s="105"/>
      <c r="C38" s="105"/>
      <c r="D38" s="105"/>
      <c r="E38" s="105"/>
      <c r="F38" s="106" t="s">
        <v>23</v>
      </c>
      <c r="G38" s="135"/>
      <c r="H38" s="138" t="s">
        <v>25</v>
      </c>
      <c r="I38" s="180" t="s">
        <v>25</v>
      </c>
      <c r="J38" s="124"/>
      <c r="K38" s="135" t="s">
        <v>23</v>
      </c>
      <c r="L38" s="105"/>
      <c r="M38" s="138">
        <v>15</v>
      </c>
      <c r="N38" s="104"/>
      <c r="O38" s="104"/>
    </row>
    <row r="39" spans="1:15" ht="12.75">
      <c r="A39" s="123"/>
      <c r="B39" s="124"/>
      <c r="C39" s="124"/>
      <c r="D39" s="124"/>
      <c r="E39" s="124"/>
      <c r="F39" s="106" t="s">
        <v>24</v>
      </c>
      <c r="G39" s="135"/>
      <c r="H39" s="138" t="s">
        <v>25</v>
      </c>
      <c r="I39" s="180" t="s">
        <v>25</v>
      </c>
      <c r="J39" s="124"/>
      <c r="K39" s="135" t="s">
        <v>24</v>
      </c>
      <c r="L39" s="105"/>
      <c r="M39" s="138" t="s">
        <v>25</v>
      </c>
      <c r="N39" s="89"/>
      <c r="O39" s="89"/>
    </row>
    <row r="40" spans="1:15" ht="12.75">
      <c r="A40" s="123"/>
      <c r="B40" s="124"/>
      <c r="C40" s="124"/>
      <c r="D40" s="124"/>
      <c r="E40" s="124"/>
      <c r="F40" s="104" t="s">
        <v>159</v>
      </c>
      <c r="G40" s="105"/>
      <c r="H40" s="125">
        <f>SUM(G41+G42+H43)</f>
        <v>20.9</v>
      </c>
      <c r="I40" s="180">
        <f aca="true" t="shared" si="1" ref="I40:I46">M40-H40</f>
        <v>0.10000000000000142</v>
      </c>
      <c r="J40" s="105"/>
      <c r="K40" s="105" t="s">
        <v>159</v>
      </c>
      <c r="L40" s="105"/>
      <c r="M40" s="125">
        <f>SUM(L41+L42+M43)</f>
        <v>21</v>
      </c>
      <c r="N40" s="89"/>
      <c r="O40" s="89"/>
    </row>
    <row r="41" spans="1:15" s="94" customFormat="1" ht="12.75">
      <c r="A41" s="141"/>
      <c r="B41" s="105"/>
      <c r="C41" s="105"/>
      <c r="D41" s="105"/>
      <c r="E41" s="105"/>
      <c r="F41" s="106" t="s">
        <v>0</v>
      </c>
      <c r="G41" s="135">
        <v>12.3</v>
      </c>
      <c r="H41" s="138"/>
      <c r="I41" s="180">
        <f t="shared" si="1"/>
        <v>0</v>
      </c>
      <c r="J41" s="105"/>
      <c r="K41" s="135" t="s">
        <v>0</v>
      </c>
      <c r="L41" s="135">
        <v>12.3</v>
      </c>
      <c r="M41" s="138"/>
      <c r="N41" s="104"/>
      <c r="O41" s="104"/>
    </row>
    <row r="42" spans="1:15" s="94" customFormat="1" ht="12.75">
      <c r="A42" s="141"/>
      <c r="B42" s="105"/>
      <c r="C42" s="105"/>
      <c r="D42" s="105"/>
      <c r="E42" s="105"/>
      <c r="F42" s="106" t="s">
        <v>28</v>
      </c>
      <c r="G42" s="135">
        <v>8.2</v>
      </c>
      <c r="H42" s="135"/>
      <c r="I42" s="180">
        <f t="shared" si="1"/>
        <v>0</v>
      </c>
      <c r="J42" s="105"/>
      <c r="K42" s="183" t="s">
        <v>28</v>
      </c>
      <c r="L42" s="135">
        <v>8.2</v>
      </c>
      <c r="M42" s="138"/>
      <c r="N42" s="104"/>
      <c r="O42" s="104"/>
    </row>
    <row r="43" spans="1:15" s="94" customFormat="1" ht="12.75">
      <c r="A43" s="141"/>
      <c r="B43" s="105"/>
      <c r="C43" s="105"/>
      <c r="D43" s="105"/>
      <c r="E43" s="105"/>
      <c r="F43" s="135" t="s">
        <v>1</v>
      </c>
      <c r="G43" s="135">
        <v>0.1</v>
      </c>
      <c r="H43" s="126">
        <v>0.4</v>
      </c>
      <c r="I43" s="180">
        <f t="shared" si="1"/>
        <v>0.09999999999999998</v>
      </c>
      <c r="J43" s="121"/>
      <c r="K43" s="183" t="s">
        <v>1</v>
      </c>
      <c r="L43" s="135">
        <v>0.12</v>
      </c>
      <c r="M43" s="143">
        <v>0.5</v>
      </c>
      <c r="N43" s="104"/>
      <c r="O43" s="104"/>
    </row>
    <row r="44" spans="1:15" s="94" customFormat="1" ht="12.75">
      <c r="A44" s="144"/>
      <c r="B44" s="104"/>
      <c r="C44" s="104"/>
      <c r="D44" s="104"/>
      <c r="E44" s="104"/>
      <c r="F44" s="105" t="s">
        <v>71</v>
      </c>
      <c r="G44" s="104"/>
      <c r="H44" s="104"/>
      <c r="I44" s="180">
        <f t="shared" si="1"/>
        <v>45</v>
      </c>
      <c r="J44" s="104"/>
      <c r="K44" s="184" t="s">
        <v>71</v>
      </c>
      <c r="L44" s="105">
        <v>35</v>
      </c>
      <c r="M44" s="125">
        <v>45</v>
      </c>
      <c r="N44" s="104"/>
      <c r="O44" s="104"/>
    </row>
    <row r="45" spans="1:15" s="94" customFormat="1" ht="12.75">
      <c r="A45" s="145" t="s">
        <v>151</v>
      </c>
      <c r="B45" s="146">
        <f>SUM(B7+B8+B11+B12+C14+B15+B18+C19+C22+C23)</f>
        <v>46.8706</v>
      </c>
      <c r="C45" s="145">
        <f>SUM(C7+C8+C14+C15+B11+B12+C18+C19+C22+C23)</f>
        <v>122.7826</v>
      </c>
      <c r="D45" s="147"/>
      <c r="E45" s="147"/>
      <c r="F45" s="105"/>
      <c r="G45" s="104"/>
      <c r="H45" s="147"/>
      <c r="I45" s="180">
        <f t="shared" si="1"/>
        <v>0</v>
      </c>
      <c r="J45" s="104"/>
      <c r="K45" s="185"/>
      <c r="L45" s="147"/>
      <c r="M45" s="147"/>
      <c r="N45" s="104"/>
      <c r="O45" s="104"/>
    </row>
    <row r="46" spans="1:15" s="94" customFormat="1" ht="13.5" thickBot="1">
      <c r="A46" s="148" t="s">
        <v>197</v>
      </c>
      <c r="B46" s="149">
        <f>SUM(B7+B11+C14+C22+C23)+B15+B18</f>
        <v>10.0231</v>
      </c>
      <c r="C46" s="149">
        <f>SUM(C7+B11+C14+C22+C23+C15+C18)</f>
        <v>22.7351</v>
      </c>
      <c r="D46" s="149"/>
      <c r="E46" s="149"/>
      <c r="F46" s="150"/>
      <c r="G46" s="150"/>
      <c r="H46" s="151">
        <f>SUM(H6+H10+H23+H29+H32+H35+G36+H40)</f>
        <v>65.30000000000001</v>
      </c>
      <c r="I46" s="180">
        <f t="shared" si="1"/>
        <v>145.20100000000002</v>
      </c>
      <c r="J46" s="149"/>
      <c r="K46" s="149"/>
      <c r="L46" s="149">
        <f>SUM(M6+M11+M17+M23+M29+M32+M35+L36+M40+L44)</f>
        <v>200.00100000000003</v>
      </c>
      <c r="M46" s="186">
        <f>SUM(M6+M10+M23+M29+M32+M35+L36+M40+M44)</f>
        <v>210.50100000000003</v>
      </c>
      <c r="N46" s="104"/>
      <c r="O46" s="104"/>
    </row>
    <row r="47" spans="1:15" s="92" customFormat="1" ht="16.5" thickTop="1">
      <c r="A47" s="117" t="s">
        <v>165</v>
      </c>
      <c r="B47" s="152" t="s">
        <v>26</v>
      </c>
      <c r="C47" s="152"/>
      <c r="D47" s="118"/>
      <c r="E47" s="118" t="s">
        <v>30</v>
      </c>
      <c r="F47" s="118" t="s">
        <v>67</v>
      </c>
      <c r="G47" s="118"/>
      <c r="H47" s="119" t="s">
        <v>168</v>
      </c>
      <c r="I47" s="180"/>
      <c r="J47" s="118"/>
      <c r="K47" s="118" t="s">
        <v>67</v>
      </c>
      <c r="L47" s="152"/>
      <c r="M47" s="119" t="s">
        <v>168</v>
      </c>
      <c r="N47" s="102"/>
      <c r="O47" s="102"/>
    </row>
    <row r="48" spans="1:15" s="93" customFormat="1" ht="12.75">
      <c r="A48" s="120" t="s">
        <v>170</v>
      </c>
      <c r="B48" s="121" t="s">
        <v>171</v>
      </c>
      <c r="C48" s="121" t="s">
        <v>172</v>
      </c>
      <c r="D48" s="121" t="s">
        <v>171</v>
      </c>
      <c r="E48" s="121" t="s">
        <v>172</v>
      </c>
      <c r="F48" s="103"/>
      <c r="G48" s="103" t="s">
        <v>171</v>
      </c>
      <c r="H48" s="153" t="s">
        <v>172</v>
      </c>
      <c r="I48" s="180"/>
      <c r="J48" s="121"/>
      <c r="K48" s="121"/>
      <c r="L48" s="121" t="s">
        <v>171</v>
      </c>
      <c r="M48" s="153" t="s">
        <v>172</v>
      </c>
      <c r="N48" s="103"/>
      <c r="O48" s="103"/>
    </row>
    <row r="49" spans="1:15" ht="12.75">
      <c r="A49" s="141" t="s">
        <v>8</v>
      </c>
      <c r="B49" s="124"/>
      <c r="C49" s="135"/>
      <c r="D49" s="135"/>
      <c r="E49" s="124"/>
      <c r="F49" s="154" t="s">
        <v>160</v>
      </c>
      <c r="G49" s="154"/>
      <c r="H49" s="125">
        <v>7.237</v>
      </c>
      <c r="I49" s="180">
        <f aca="true" t="shared" si="2" ref="I49:I66">M49-H49</f>
        <v>6.997</v>
      </c>
      <c r="J49" s="105"/>
      <c r="K49" s="181" t="s">
        <v>160</v>
      </c>
      <c r="L49" s="181"/>
      <c r="M49" s="125">
        <v>14.234</v>
      </c>
      <c r="N49" s="89"/>
      <c r="O49" s="89"/>
    </row>
    <row r="50" spans="1:15" ht="12.75">
      <c r="A50" s="196" t="s">
        <v>2</v>
      </c>
      <c r="B50" s="193"/>
      <c r="C50" s="194">
        <f>0.05/5</f>
        <v>0.01</v>
      </c>
      <c r="D50" s="194"/>
      <c r="E50" s="193"/>
      <c r="F50" s="155" t="s">
        <v>47</v>
      </c>
      <c r="G50" s="155"/>
      <c r="H50" s="138">
        <v>5.822</v>
      </c>
      <c r="I50" s="180">
        <f t="shared" si="2"/>
        <v>4.96</v>
      </c>
      <c r="J50" s="135"/>
      <c r="K50" s="187" t="s">
        <v>47</v>
      </c>
      <c r="L50" s="187"/>
      <c r="M50" s="138">
        <v>10.782</v>
      </c>
      <c r="N50" s="89"/>
      <c r="O50" s="89"/>
    </row>
    <row r="51" spans="1:15" ht="12.75">
      <c r="A51" s="196" t="s">
        <v>3</v>
      </c>
      <c r="B51" s="193"/>
      <c r="C51" s="194">
        <f>0.172/5</f>
        <v>0.0344</v>
      </c>
      <c r="D51" s="194"/>
      <c r="E51" s="193"/>
      <c r="F51" s="155" t="s">
        <v>96</v>
      </c>
      <c r="G51" s="155"/>
      <c r="H51" s="138">
        <v>1.353</v>
      </c>
      <c r="I51" s="180">
        <f t="shared" si="2"/>
        <v>2.037</v>
      </c>
      <c r="J51" s="135"/>
      <c r="K51" s="187" t="s">
        <v>96</v>
      </c>
      <c r="L51" s="187"/>
      <c r="M51" s="138">
        <v>3.39</v>
      </c>
      <c r="N51" s="89"/>
      <c r="O51" s="89"/>
    </row>
    <row r="52" spans="1:15" ht="12.75">
      <c r="A52" s="196" t="s">
        <v>4</v>
      </c>
      <c r="B52" s="193"/>
      <c r="C52" s="194">
        <f>0.09/5</f>
        <v>0.018</v>
      </c>
      <c r="D52" s="194"/>
      <c r="E52" s="193"/>
      <c r="F52" s="155" t="s">
        <v>48</v>
      </c>
      <c r="G52" s="155"/>
      <c r="H52" s="138">
        <v>0.062</v>
      </c>
      <c r="I52" s="180">
        <f t="shared" si="2"/>
        <v>-0.062</v>
      </c>
      <c r="J52" s="135"/>
      <c r="K52" s="187" t="s">
        <v>48</v>
      </c>
      <c r="L52" s="187"/>
      <c r="M52" s="138">
        <v>0</v>
      </c>
      <c r="N52" s="89"/>
      <c r="O52" s="89"/>
    </row>
    <row r="53" spans="1:15" ht="12.75">
      <c r="A53" s="196" t="s">
        <v>5</v>
      </c>
      <c r="B53" s="193">
        <f>0.02*B7</f>
        <v>0.14220000000000002</v>
      </c>
      <c r="C53" s="193">
        <f>0.02*C7</f>
        <v>0.395</v>
      </c>
      <c r="D53" s="195">
        <f>0.02*D7</f>
        <v>2</v>
      </c>
      <c r="E53" s="195"/>
      <c r="F53" s="104" t="s">
        <v>161</v>
      </c>
      <c r="G53" s="104">
        <v>8</v>
      </c>
      <c r="H53" s="125">
        <v>9</v>
      </c>
      <c r="I53" s="180">
        <f t="shared" si="2"/>
        <v>2</v>
      </c>
      <c r="J53" s="105"/>
      <c r="K53" s="105" t="s">
        <v>161</v>
      </c>
      <c r="L53" s="105">
        <v>9</v>
      </c>
      <c r="M53" s="125">
        <v>11</v>
      </c>
      <c r="N53" s="89"/>
      <c r="O53" s="89"/>
    </row>
    <row r="54" spans="1:13" s="89" customFormat="1" ht="12.75">
      <c r="A54" s="141" t="s">
        <v>9</v>
      </c>
      <c r="B54" s="124"/>
      <c r="C54" s="124"/>
      <c r="D54" s="126"/>
      <c r="E54" s="126"/>
      <c r="F54" s="104"/>
      <c r="G54" s="104"/>
      <c r="H54" s="125"/>
      <c r="I54" s="180"/>
      <c r="J54" s="105"/>
      <c r="K54" s="105"/>
      <c r="L54" s="105"/>
      <c r="M54" s="125"/>
    </row>
    <row r="55" spans="1:15" ht="25.5">
      <c r="A55" s="156" t="s">
        <v>148</v>
      </c>
      <c r="B55" s="157">
        <f>0.5/5</f>
        <v>0.1</v>
      </c>
      <c r="C55" s="157">
        <f>1/5</f>
        <v>0.2</v>
      </c>
      <c r="D55" s="89"/>
      <c r="E55" s="89"/>
      <c r="F55" s="104" t="s">
        <v>162</v>
      </c>
      <c r="G55" s="104">
        <f>SUM(G56:G58)</f>
        <v>3.7569999999999997</v>
      </c>
      <c r="H55" s="125">
        <f>SUM(H56:H58)</f>
        <v>5.39</v>
      </c>
      <c r="I55" s="180">
        <f t="shared" si="2"/>
        <v>0</v>
      </c>
      <c r="J55" s="105"/>
      <c r="K55" s="105" t="s">
        <v>162</v>
      </c>
      <c r="L55" s="105">
        <f>SUM(L56:L58)</f>
        <v>3.7569999999999997</v>
      </c>
      <c r="M55" s="125">
        <f>SUM(M56:M58)</f>
        <v>5.39</v>
      </c>
      <c r="N55" s="89"/>
      <c r="O55" s="89"/>
    </row>
    <row r="56" spans="1:15" ht="12.75">
      <c r="A56" s="89"/>
      <c r="B56" s="131"/>
      <c r="C56" s="89"/>
      <c r="D56" s="126"/>
      <c r="E56" s="126"/>
      <c r="F56" s="89" t="s">
        <v>98</v>
      </c>
      <c r="G56" s="89">
        <v>1.923</v>
      </c>
      <c r="H56" s="127">
        <v>2.235</v>
      </c>
      <c r="I56" s="180">
        <f t="shared" si="2"/>
        <v>0</v>
      </c>
      <c r="J56" s="124"/>
      <c r="K56" s="124" t="s">
        <v>98</v>
      </c>
      <c r="L56" s="124">
        <v>1.923</v>
      </c>
      <c r="M56" s="127">
        <v>2.235</v>
      </c>
      <c r="N56" s="89"/>
      <c r="O56" s="89"/>
    </row>
    <row r="57" spans="1:15" ht="12.75">
      <c r="A57" s="141" t="s">
        <v>6</v>
      </c>
      <c r="B57" s="124"/>
      <c r="C57" s="124"/>
      <c r="D57" s="135"/>
      <c r="E57" s="135"/>
      <c r="F57" s="89" t="s">
        <v>99</v>
      </c>
      <c r="G57" s="89">
        <v>0.061</v>
      </c>
      <c r="H57" s="127">
        <v>0.122</v>
      </c>
      <c r="I57" s="180">
        <f t="shared" si="2"/>
        <v>0</v>
      </c>
      <c r="J57" s="124"/>
      <c r="K57" s="124" t="s">
        <v>99</v>
      </c>
      <c r="L57" s="124">
        <v>0.061</v>
      </c>
      <c r="M57" s="127">
        <v>0.122</v>
      </c>
      <c r="N57" s="89"/>
      <c r="O57" s="89"/>
    </row>
    <row r="58" spans="1:15" s="94" customFormat="1" ht="12.75">
      <c r="A58" s="140" t="s">
        <v>174</v>
      </c>
      <c r="B58" s="124"/>
      <c r="C58" s="135">
        <v>0.4</v>
      </c>
      <c r="D58" s="105"/>
      <c r="E58" s="105"/>
      <c r="F58" s="89" t="s">
        <v>100</v>
      </c>
      <c r="G58" s="89">
        <v>1.773</v>
      </c>
      <c r="H58" s="127">
        <v>3.033</v>
      </c>
      <c r="I58" s="180">
        <f t="shared" si="2"/>
        <v>0</v>
      </c>
      <c r="J58" s="124"/>
      <c r="K58" s="124" t="s">
        <v>100</v>
      </c>
      <c r="L58" s="124">
        <v>1.773</v>
      </c>
      <c r="M58" s="127">
        <v>3.033</v>
      </c>
      <c r="N58" s="104"/>
      <c r="O58" s="104"/>
    </row>
    <row r="59" spans="1:15" s="96" customFormat="1" ht="12.75">
      <c r="A59" s="140" t="s">
        <v>83</v>
      </c>
      <c r="B59" s="105"/>
      <c r="C59" s="135">
        <v>0.036</v>
      </c>
      <c r="D59" s="135"/>
      <c r="E59" s="135"/>
      <c r="F59" s="104" t="s">
        <v>32</v>
      </c>
      <c r="G59" s="105">
        <f>SUM(G60:G64)</f>
        <v>4.6</v>
      </c>
      <c r="H59" s="125">
        <f>SUM(H60:H64)</f>
        <v>5</v>
      </c>
      <c r="I59" s="180">
        <f t="shared" si="2"/>
        <v>7.422000000000001</v>
      </c>
      <c r="J59" s="105"/>
      <c r="K59" s="105" t="s">
        <v>32</v>
      </c>
      <c r="L59" s="105">
        <v>11.002</v>
      </c>
      <c r="M59" s="125">
        <v>12.422</v>
      </c>
      <c r="N59" s="106"/>
      <c r="O59" s="106"/>
    </row>
    <row r="60" spans="1:15" s="96" customFormat="1" ht="12.75">
      <c r="A60" s="140"/>
      <c r="B60" s="135"/>
      <c r="C60" s="135"/>
      <c r="D60" s="135"/>
      <c r="E60" s="135"/>
      <c r="F60" s="135" t="s">
        <v>104</v>
      </c>
      <c r="G60" s="135">
        <v>4.6</v>
      </c>
      <c r="H60" s="138">
        <v>5</v>
      </c>
      <c r="I60" s="180">
        <f t="shared" si="2"/>
        <v>5.680999999999999</v>
      </c>
      <c r="J60" s="135"/>
      <c r="K60" s="135" t="s">
        <v>104</v>
      </c>
      <c r="L60" s="135">
        <v>9.529</v>
      </c>
      <c r="M60" s="138">
        <v>10.681</v>
      </c>
      <c r="N60" s="106"/>
      <c r="O60" s="106"/>
    </row>
    <row r="61" spans="1:15" s="96" customFormat="1" ht="12.75">
      <c r="A61" s="140"/>
      <c r="B61" s="135"/>
      <c r="C61" s="135"/>
      <c r="D61" s="135"/>
      <c r="E61" s="135"/>
      <c r="F61" s="135" t="s">
        <v>107</v>
      </c>
      <c r="G61" s="135"/>
      <c r="H61" s="138"/>
      <c r="I61" s="180">
        <f t="shared" si="2"/>
        <v>2.469</v>
      </c>
      <c r="J61" s="135"/>
      <c r="K61" s="135" t="s">
        <v>107</v>
      </c>
      <c r="L61" s="135">
        <v>2.316</v>
      </c>
      <c r="M61" s="138">
        <v>2.469</v>
      </c>
      <c r="N61" s="106"/>
      <c r="O61" s="106"/>
    </row>
    <row r="62" spans="1:15" s="94" customFormat="1" ht="12.75">
      <c r="A62" s="141"/>
      <c r="B62" s="105"/>
      <c r="C62" s="105"/>
      <c r="D62" s="105"/>
      <c r="E62" s="105"/>
      <c r="F62" s="135" t="s">
        <v>108</v>
      </c>
      <c r="G62" s="135"/>
      <c r="H62" s="138"/>
      <c r="I62" s="180">
        <f t="shared" si="2"/>
        <v>8.202</v>
      </c>
      <c r="J62" s="135"/>
      <c r="K62" s="135" t="s">
        <v>108</v>
      </c>
      <c r="L62" s="135">
        <v>7.214</v>
      </c>
      <c r="M62" s="138">
        <v>8.202</v>
      </c>
      <c r="N62" s="104"/>
      <c r="O62" s="104"/>
    </row>
    <row r="63" spans="1:15" s="94" customFormat="1" ht="12.75">
      <c r="A63" s="141"/>
      <c r="B63" s="105"/>
      <c r="C63" s="105"/>
      <c r="D63" s="105"/>
      <c r="E63" s="105"/>
      <c r="F63" s="135" t="s">
        <v>105</v>
      </c>
      <c r="G63" s="135"/>
      <c r="H63" s="138"/>
      <c r="I63" s="180">
        <f t="shared" si="2"/>
        <v>0.006</v>
      </c>
      <c r="J63" s="135"/>
      <c r="K63" s="135" t="s">
        <v>105</v>
      </c>
      <c r="L63" s="135">
        <v>0.005</v>
      </c>
      <c r="M63" s="138">
        <v>0.006</v>
      </c>
      <c r="N63" s="104"/>
      <c r="O63" s="104"/>
    </row>
    <row r="64" spans="1:15" ht="12.75">
      <c r="A64" s="123"/>
      <c r="B64" s="124"/>
      <c r="C64" s="124"/>
      <c r="D64" s="124"/>
      <c r="E64" s="124"/>
      <c r="F64" s="135" t="s">
        <v>106</v>
      </c>
      <c r="G64" s="135"/>
      <c r="H64" s="138"/>
      <c r="I64" s="180">
        <f t="shared" si="2"/>
        <v>1.734</v>
      </c>
      <c r="J64" s="135"/>
      <c r="K64" s="135" t="s">
        <v>106</v>
      </c>
      <c r="L64" s="135">
        <v>1.467</v>
      </c>
      <c r="M64" s="138">
        <v>1.734</v>
      </c>
      <c r="N64" s="89"/>
      <c r="O64" s="89"/>
    </row>
    <row r="65" spans="1:15" ht="12.75">
      <c r="A65" s="123"/>
      <c r="B65" s="124"/>
      <c r="C65" s="124"/>
      <c r="D65" s="124"/>
      <c r="E65" s="124"/>
      <c r="F65" s="104" t="s">
        <v>60</v>
      </c>
      <c r="G65" s="104">
        <v>2.4</v>
      </c>
      <c r="H65" s="125">
        <v>41</v>
      </c>
      <c r="I65" s="180">
        <f t="shared" si="2"/>
        <v>89.05799999999999</v>
      </c>
      <c r="J65" s="105"/>
      <c r="K65" s="105" t="s">
        <v>60</v>
      </c>
      <c r="L65" s="105">
        <v>7.627</v>
      </c>
      <c r="M65" s="125">
        <v>130.058</v>
      </c>
      <c r="N65" s="89"/>
      <c r="O65" s="89"/>
    </row>
    <row r="66" spans="1:15" ht="13.5" thickBot="1">
      <c r="A66" s="158" t="s">
        <v>84</v>
      </c>
      <c r="B66" s="159">
        <f>SUM(C50+C51+C52+B53+B55+C58+C59)</f>
        <v>0.7406</v>
      </c>
      <c r="C66" s="150">
        <f>SUM(C49:C65)</f>
        <v>1.0934</v>
      </c>
      <c r="D66" s="150"/>
      <c r="E66" s="150"/>
      <c r="F66" s="150"/>
      <c r="G66" s="150">
        <f>SUM(H49+G53+G55+G59+G65)</f>
        <v>25.994</v>
      </c>
      <c r="H66" s="151">
        <f>SUM(H49+H53+H55+H59+H65)</f>
        <v>67.62700000000001</v>
      </c>
      <c r="I66" s="180">
        <f t="shared" si="2"/>
        <v>105.47699999999998</v>
      </c>
      <c r="J66" s="150"/>
      <c r="K66" s="150"/>
      <c r="L66" s="150">
        <f>SUM(M49+L53+L55+L59+L65)</f>
        <v>45.620000000000005</v>
      </c>
      <c r="M66" s="151">
        <f>SUM(M49+M53+M55+M59+M65)</f>
        <v>173.10399999999998</v>
      </c>
      <c r="N66" s="89"/>
      <c r="O66" s="89"/>
    </row>
    <row r="67" spans="1:15" ht="16.5" thickTop="1">
      <c r="A67" s="117" t="s">
        <v>27</v>
      </c>
      <c r="B67" s="118"/>
      <c r="C67" s="118" t="s">
        <v>29</v>
      </c>
      <c r="D67" s="118"/>
      <c r="E67" s="118" t="s">
        <v>30</v>
      </c>
      <c r="F67" s="160"/>
      <c r="G67" s="160"/>
      <c r="H67" s="161"/>
      <c r="I67" s="180"/>
      <c r="J67" s="160"/>
      <c r="K67" s="160"/>
      <c r="L67" s="113"/>
      <c r="M67" s="161"/>
      <c r="N67" s="89"/>
      <c r="O67" s="89"/>
    </row>
    <row r="68" spans="1:15" ht="12.75">
      <c r="A68" s="120" t="s">
        <v>170</v>
      </c>
      <c r="B68" s="103" t="s">
        <v>171</v>
      </c>
      <c r="C68" s="103" t="s">
        <v>172</v>
      </c>
      <c r="D68" s="103" t="s">
        <v>171</v>
      </c>
      <c r="E68" s="103" t="s">
        <v>172</v>
      </c>
      <c r="F68" s="103"/>
      <c r="G68" s="103" t="s">
        <v>171</v>
      </c>
      <c r="H68" s="153" t="s">
        <v>172</v>
      </c>
      <c r="I68" s="180"/>
      <c r="J68" s="121"/>
      <c r="K68" s="103"/>
      <c r="L68" s="103" t="s">
        <v>171</v>
      </c>
      <c r="M68" s="153" t="s">
        <v>172</v>
      </c>
      <c r="N68" s="89"/>
      <c r="O68" s="89"/>
    </row>
    <row r="69" spans="1:15" ht="12.75">
      <c r="A69" s="197" t="s">
        <v>7</v>
      </c>
      <c r="B69" s="103"/>
      <c r="C69" s="103"/>
      <c r="D69" s="103"/>
      <c r="E69" s="103"/>
      <c r="F69" s="89"/>
      <c r="G69" s="89"/>
      <c r="H69" s="127"/>
      <c r="I69" s="180"/>
      <c r="J69" s="124"/>
      <c r="K69" s="124"/>
      <c r="L69" s="124"/>
      <c r="M69" s="127"/>
      <c r="N69" s="89"/>
      <c r="O69" s="89"/>
    </row>
    <row r="70" spans="1:15" ht="12.75">
      <c r="A70" s="123" t="s">
        <v>88</v>
      </c>
      <c r="B70" s="106"/>
      <c r="C70" s="106">
        <v>0.531</v>
      </c>
      <c r="D70" s="89"/>
      <c r="E70" s="89"/>
      <c r="F70" s="89"/>
      <c r="G70" s="89"/>
      <c r="H70" s="127"/>
      <c r="I70" s="180"/>
      <c r="J70" s="124"/>
      <c r="K70" s="124"/>
      <c r="L70" s="124"/>
      <c r="M70" s="127"/>
      <c r="N70" s="89"/>
      <c r="O70" s="89"/>
    </row>
    <row r="71" spans="1:15" ht="12.75">
      <c r="A71" s="123" t="s">
        <v>93</v>
      </c>
      <c r="B71" s="106"/>
      <c r="C71" s="106">
        <v>0.112</v>
      </c>
      <c r="D71" s="89"/>
      <c r="E71" s="89"/>
      <c r="F71" s="89"/>
      <c r="G71" s="89"/>
      <c r="H71" s="127"/>
      <c r="I71" s="180"/>
      <c r="J71" s="124"/>
      <c r="K71" s="124"/>
      <c r="L71" s="124"/>
      <c r="M71" s="127"/>
      <c r="N71" s="89"/>
      <c r="O71" s="89"/>
    </row>
    <row r="72" spans="1:15" ht="12.75">
      <c r="A72" s="123" t="s">
        <v>34</v>
      </c>
      <c r="B72" s="106">
        <v>0.026</v>
      </c>
      <c r="C72" s="106"/>
      <c r="D72" s="89"/>
      <c r="E72" s="89"/>
      <c r="F72" s="89"/>
      <c r="G72" s="89"/>
      <c r="H72" s="127"/>
      <c r="I72" s="180"/>
      <c r="J72" s="124"/>
      <c r="K72" s="124"/>
      <c r="L72" s="124"/>
      <c r="M72" s="127"/>
      <c r="N72" s="89"/>
      <c r="O72" s="89"/>
    </row>
    <row r="73" spans="1:15" ht="12.75">
      <c r="A73" s="123" t="s">
        <v>35</v>
      </c>
      <c r="B73" s="106"/>
      <c r="C73" s="106">
        <f>0.184*0.3</f>
        <v>0.0552</v>
      </c>
      <c r="D73" s="103"/>
      <c r="E73" s="103"/>
      <c r="F73" s="89"/>
      <c r="G73" s="89"/>
      <c r="H73" s="127"/>
      <c r="I73" s="180"/>
      <c r="J73" s="124"/>
      <c r="K73" s="124"/>
      <c r="L73" s="124"/>
      <c r="M73" s="127"/>
      <c r="N73" s="89"/>
      <c r="O73" s="89"/>
    </row>
    <row r="74" spans="1:15" ht="12.75">
      <c r="A74" s="162"/>
      <c r="B74" s="139"/>
      <c r="C74" s="106"/>
      <c r="D74" s="103"/>
      <c r="E74" s="103"/>
      <c r="F74" s="89"/>
      <c r="G74" s="89"/>
      <c r="H74" s="127"/>
      <c r="I74" s="180"/>
      <c r="J74" s="124"/>
      <c r="K74" s="124"/>
      <c r="L74" s="124"/>
      <c r="M74" s="127"/>
      <c r="N74" s="89"/>
      <c r="O74" s="89"/>
    </row>
    <row r="75" spans="1:15" ht="12.75">
      <c r="A75" s="184" t="s">
        <v>9</v>
      </c>
      <c r="B75" s="139"/>
      <c r="C75" s="106"/>
      <c r="D75" s="103"/>
      <c r="E75" s="103"/>
      <c r="F75" s="89"/>
      <c r="G75" s="89"/>
      <c r="H75" s="127"/>
      <c r="I75" s="180"/>
      <c r="J75" s="124"/>
      <c r="K75" s="124"/>
      <c r="L75" s="124"/>
      <c r="M75" s="127"/>
      <c r="N75" s="89"/>
      <c r="O75" s="89"/>
    </row>
    <row r="76" spans="1:15" ht="38.25">
      <c r="A76" s="163" t="s">
        <v>51</v>
      </c>
      <c r="B76" s="139"/>
      <c r="C76" s="106">
        <f>0.0562/5</f>
        <v>0.01124</v>
      </c>
      <c r="D76" s="103"/>
      <c r="E76" s="103"/>
      <c r="F76" s="89"/>
      <c r="G76" s="89"/>
      <c r="H76" s="127"/>
      <c r="I76" s="180"/>
      <c r="J76" s="124"/>
      <c r="K76" s="124"/>
      <c r="L76" s="124"/>
      <c r="M76" s="127"/>
      <c r="N76" s="89"/>
      <c r="O76" s="89"/>
    </row>
    <row r="77" spans="1:15" ht="12.75">
      <c r="A77" s="164" t="s">
        <v>150</v>
      </c>
      <c r="B77" s="134"/>
      <c r="C77" s="133">
        <f>0.1507/5</f>
        <v>0.03014</v>
      </c>
      <c r="D77" s="103"/>
      <c r="E77" s="103"/>
      <c r="F77" s="89"/>
      <c r="G77" s="89"/>
      <c r="H77" s="127"/>
      <c r="I77" s="180"/>
      <c r="J77" s="124"/>
      <c r="K77" s="124"/>
      <c r="L77" s="124"/>
      <c r="M77" s="127"/>
      <c r="N77" s="89"/>
      <c r="O77" s="89"/>
    </row>
    <row r="78" spans="1:15" ht="12.75">
      <c r="A78" s="164"/>
      <c r="B78" s="134"/>
      <c r="C78" s="133"/>
      <c r="D78" s="103"/>
      <c r="E78" s="103"/>
      <c r="F78" s="89"/>
      <c r="G78" s="89"/>
      <c r="H78" s="127"/>
      <c r="I78" s="180"/>
      <c r="J78" s="124"/>
      <c r="K78" s="124"/>
      <c r="L78" s="124"/>
      <c r="M78" s="127"/>
      <c r="N78" s="89"/>
      <c r="O78" s="89"/>
    </row>
    <row r="79" spans="1:15" ht="12.75">
      <c r="A79" s="145" t="s">
        <v>151</v>
      </c>
      <c r="B79" s="134"/>
      <c r="C79" s="165">
        <f>SUM(C70+C71+B72+C73+C76+C77)</f>
        <v>0.7655800000000001</v>
      </c>
      <c r="D79" s="103"/>
      <c r="E79" s="103"/>
      <c r="F79" s="89"/>
      <c r="G79" s="89"/>
      <c r="H79" s="127"/>
      <c r="I79" s="180"/>
      <c r="J79" s="124"/>
      <c r="K79" s="124"/>
      <c r="L79" s="124"/>
      <c r="M79" s="127"/>
      <c r="N79" s="89"/>
      <c r="O79" s="89"/>
    </row>
    <row r="80" spans="1:15" ht="13.5" thickBot="1">
      <c r="A80" s="158" t="s">
        <v>153</v>
      </c>
      <c r="B80" s="159"/>
      <c r="C80" s="150">
        <f>SUM(C70+C71+B72+C73+C76)</f>
        <v>0.7354400000000001</v>
      </c>
      <c r="D80" s="150"/>
      <c r="E80" s="150"/>
      <c r="F80" s="89"/>
      <c r="G80" s="89"/>
      <c r="H80" s="127"/>
      <c r="I80" s="180"/>
      <c r="J80" s="124"/>
      <c r="K80" s="124"/>
      <c r="L80" s="113"/>
      <c r="M80" s="127"/>
      <c r="N80" s="89"/>
      <c r="O80" s="89"/>
    </row>
    <row r="81" spans="1:15" ht="16.5" thickTop="1">
      <c r="A81" s="117" t="s">
        <v>169</v>
      </c>
      <c r="B81" s="118"/>
      <c r="C81" s="118" t="s">
        <v>29</v>
      </c>
      <c r="D81" s="118"/>
      <c r="E81" s="118" t="s">
        <v>30</v>
      </c>
      <c r="F81" s="160"/>
      <c r="G81" s="160"/>
      <c r="H81" s="161"/>
      <c r="I81" s="180"/>
      <c r="J81" s="160"/>
      <c r="K81" s="160"/>
      <c r="L81" s="113"/>
      <c r="M81" s="161"/>
      <c r="N81" s="89"/>
      <c r="O81" s="89"/>
    </row>
    <row r="82" spans="1:15" s="93" customFormat="1" ht="12.75">
      <c r="A82" s="120" t="s">
        <v>170</v>
      </c>
      <c r="B82" s="121" t="s">
        <v>171</v>
      </c>
      <c r="C82" s="121" t="s">
        <v>172</v>
      </c>
      <c r="D82" s="121" t="s">
        <v>171</v>
      </c>
      <c r="E82" s="121" t="s">
        <v>172</v>
      </c>
      <c r="F82" s="103"/>
      <c r="G82" s="103" t="s">
        <v>171</v>
      </c>
      <c r="H82" s="153" t="s">
        <v>172</v>
      </c>
      <c r="I82" s="180"/>
      <c r="J82" s="121"/>
      <c r="K82" s="103"/>
      <c r="L82" s="103" t="s">
        <v>171</v>
      </c>
      <c r="M82" s="153" t="s">
        <v>172</v>
      </c>
      <c r="N82" s="103"/>
      <c r="O82" s="103"/>
    </row>
    <row r="83" spans="1:15" ht="12.75">
      <c r="A83" s="89" t="s">
        <v>208</v>
      </c>
      <c r="B83" s="131"/>
      <c r="C83" s="124"/>
      <c r="D83" s="124"/>
      <c r="E83" s="124"/>
      <c r="F83" s="89"/>
      <c r="G83" s="89"/>
      <c r="H83" s="127"/>
      <c r="I83" s="180"/>
      <c r="J83" s="124"/>
      <c r="K83" s="124"/>
      <c r="L83" s="124"/>
      <c r="M83" s="127"/>
      <c r="N83" s="89"/>
      <c r="O83" s="89"/>
    </row>
    <row r="84" spans="1:15" ht="12.75">
      <c r="A84" s="123" t="s">
        <v>209</v>
      </c>
      <c r="B84" s="124"/>
      <c r="C84" s="124"/>
      <c r="D84" s="124">
        <v>10</v>
      </c>
      <c r="E84" s="135">
        <v>15</v>
      </c>
      <c r="F84" s="89"/>
      <c r="G84" s="89"/>
      <c r="H84" s="127"/>
      <c r="I84" s="180"/>
      <c r="J84" s="124"/>
      <c r="K84" s="124"/>
      <c r="L84" s="124"/>
      <c r="M84" s="127"/>
      <c r="N84" s="89"/>
      <c r="O84" s="89"/>
    </row>
    <row r="85" spans="1:15" ht="12.75">
      <c r="A85" s="123" t="s">
        <v>210</v>
      </c>
      <c r="B85" s="124"/>
      <c r="C85" s="124"/>
      <c r="D85" s="124">
        <v>10</v>
      </c>
      <c r="E85" s="135">
        <v>15</v>
      </c>
      <c r="F85" s="89"/>
      <c r="G85" s="89"/>
      <c r="H85" s="127"/>
      <c r="I85" s="180"/>
      <c r="J85" s="124"/>
      <c r="K85" s="124"/>
      <c r="L85" s="124"/>
      <c r="M85" s="127"/>
      <c r="N85" s="89"/>
      <c r="O85" s="89"/>
    </row>
    <row r="86" spans="1:15" ht="12.75">
      <c r="A86" s="123" t="s">
        <v>211</v>
      </c>
      <c r="B86" s="124"/>
      <c r="C86" s="124"/>
      <c r="D86" s="124">
        <v>10</v>
      </c>
      <c r="E86" s="135">
        <v>25</v>
      </c>
      <c r="F86" s="89"/>
      <c r="G86" s="89"/>
      <c r="H86" s="127"/>
      <c r="I86" s="180"/>
      <c r="J86" s="124"/>
      <c r="K86" s="124"/>
      <c r="L86" s="124"/>
      <c r="M86" s="127"/>
      <c r="N86" s="89"/>
      <c r="O86" s="89"/>
    </row>
    <row r="87" spans="1:15" ht="12" customHeight="1">
      <c r="A87" s="156" t="s">
        <v>196</v>
      </c>
      <c r="B87" s="124"/>
      <c r="C87" s="124"/>
      <c r="D87" s="124">
        <v>15</v>
      </c>
      <c r="E87" s="135">
        <v>20</v>
      </c>
      <c r="F87" s="89"/>
      <c r="G87" s="89"/>
      <c r="H87" s="127"/>
      <c r="I87" s="180"/>
      <c r="J87" s="124"/>
      <c r="K87" s="124"/>
      <c r="L87" s="124"/>
      <c r="M87" s="127"/>
      <c r="N87" s="89"/>
      <c r="O87" s="89"/>
    </row>
    <row r="88" spans="1:15" ht="25.5">
      <c r="A88" s="163" t="s">
        <v>212</v>
      </c>
      <c r="B88" s="131"/>
      <c r="C88" s="124"/>
      <c r="D88" s="124">
        <v>0.01</v>
      </c>
      <c r="E88" s="124">
        <v>0.05</v>
      </c>
      <c r="F88" s="89"/>
      <c r="G88" s="89"/>
      <c r="H88" s="127"/>
      <c r="I88" s="180"/>
      <c r="J88" s="124"/>
      <c r="K88" s="124"/>
      <c r="L88" s="124"/>
      <c r="M88" s="127"/>
      <c r="N88" s="89"/>
      <c r="O88" s="89"/>
    </row>
    <row r="89" spans="1:15" ht="12.75">
      <c r="A89" s="89" t="s">
        <v>213</v>
      </c>
      <c r="B89" s="131"/>
      <c r="C89" s="124"/>
      <c r="D89" s="89">
        <v>185</v>
      </c>
      <c r="E89" s="124"/>
      <c r="F89" s="89"/>
      <c r="G89" s="89"/>
      <c r="H89" s="127"/>
      <c r="I89" s="180"/>
      <c r="J89" s="124"/>
      <c r="K89" s="124"/>
      <c r="L89" s="124"/>
      <c r="M89" s="127"/>
      <c r="N89" s="89"/>
      <c r="O89" s="89"/>
    </row>
    <row r="90" spans="1:15" ht="12.75">
      <c r="A90" s="89" t="s">
        <v>214</v>
      </c>
      <c r="B90" s="131"/>
      <c r="C90" s="124"/>
      <c r="D90" s="89"/>
      <c r="E90" s="124">
        <v>46</v>
      </c>
      <c r="F90" s="89"/>
      <c r="G90" s="89"/>
      <c r="H90" s="127"/>
      <c r="I90" s="180"/>
      <c r="J90" s="124"/>
      <c r="K90" s="124"/>
      <c r="L90" s="124"/>
      <c r="M90" s="127"/>
      <c r="N90" s="89"/>
      <c r="O90" s="89"/>
    </row>
    <row r="91" spans="1:15" ht="12.75">
      <c r="A91" s="89" t="s">
        <v>118</v>
      </c>
      <c r="B91" s="131"/>
      <c r="C91" s="124"/>
      <c r="D91" s="89"/>
      <c r="E91" s="124">
        <v>48.5</v>
      </c>
      <c r="F91" s="89"/>
      <c r="G91" s="89"/>
      <c r="H91" s="127"/>
      <c r="I91" s="180"/>
      <c r="J91" s="124"/>
      <c r="K91" s="124"/>
      <c r="L91" s="124"/>
      <c r="M91" s="127"/>
      <c r="N91" s="89"/>
      <c r="O91" s="89"/>
    </row>
    <row r="92" spans="1:15" ht="25.5">
      <c r="A92" s="166" t="s">
        <v>200</v>
      </c>
      <c r="B92" s="131"/>
      <c r="C92" s="124"/>
      <c r="D92" s="89"/>
      <c r="E92" s="124">
        <v>14</v>
      </c>
      <c r="F92" s="89"/>
      <c r="G92" s="89"/>
      <c r="H92" s="127"/>
      <c r="I92" s="180"/>
      <c r="J92" s="124"/>
      <c r="K92" s="124"/>
      <c r="L92" s="124"/>
      <c r="M92" s="127"/>
      <c r="N92" s="89"/>
      <c r="O92" s="89"/>
    </row>
    <row r="93" spans="1:15" ht="12.75">
      <c r="A93" s="166" t="s">
        <v>201</v>
      </c>
      <c r="B93" s="131"/>
      <c r="C93" s="124"/>
      <c r="D93" s="89">
        <v>1</v>
      </c>
      <c r="E93" s="124">
        <v>6</v>
      </c>
      <c r="F93" s="89"/>
      <c r="G93" s="89"/>
      <c r="H93" s="127"/>
      <c r="I93" s="180"/>
      <c r="J93" s="124"/>
      <c r="K93" s="124"/>
      <c r="L93" s="124"/>
      <c r="M93" s="127"/>
      <c r="N93" s="89"/>
      <c r="O93" s="89"/>
    </row>
    <row r="94" spans="1:15" ht="25.5">
      <c r="A94" s="167" t="s">
        <v>74</v>
      </c>
      <c r="B94" s="131"/>
      <c r="C94" s="124"/>
      <c r="D94" s="124"/>
      <c r="E94" s="124">
        <v>10</v>
      </c>
      <c r="F94" s="89"/>
      <c r="G94" s="89"/>
      <c r="H94" s="127"/>
      <c r="I94" s="180"/>
      <c r="J94" s="124"/>
      <c r="K94" s="124"/>
      <c r="L94" s="124"/>
      <c r="M94" s="127"/>
      <c r="N94" s="89"/>
      <c r="O94" s="89"/>
    </row>
    <row r="95" spans="1:15" ht="25.5">
      <c r="A95" s="168" t="s">
        <v>15</v>
      </c>
      <c r="B95" s="124">
        <f>0.03*B7-B53</f>
        <v>0.07109999999999997</v>
      </c>
      <c r="C95" s="124">
        <f>0.05*C7-C53</f>
        <v>0.5925</v>
      </c>
      <c r="D95" s="124">
        <f>0.03*D7-D53</f>
        <v>1</v>
      </c>
      <c r="E95" s="124">
        <f>0.05*D7-D53</f>
        <v>3</v>
      </c>
      <c r="F95" s="89"/>
      <c r="G95" s="89"/>
      <c r="H95" s="127"/>
      <c r="I95" s="180"/>
      <c r="J95" s="124"/>
      <c r="K95" s="124"/>
      <c r="L95" s="124"/>
      <c r="M95" s="127"/>
      <c r="N95" s="89"/>
      <c r="O95" s="89"/>
    </row>
    <row r="96" spans="1:15" ht="12.75">
      <c r="A96" s="169"/>
      <c r="B96" s="170"/>
      <c r="C96" s="113"/>
      <c r="D96" s="113"/>
      <c r="E96" s="113"/>
      <c r="F96" s="89"/>
      <c r="G96" s="89"/>
      <c r="H96" s="127"/>
      <c r="I96" s="180"/>
      <c r="J96" s="124"/>
      <c r="K96" s="124"/>
      <c r="L96" s="124"/>
      <c r="M96" s="127"/>
      <c r="N96" s="89"/>
      <c r="O96" s="89"/>
    </row>
    <row r="97" spans="1:15" ht="12.75">
      <c r="A97" s="166" t="s">
        <v>202</v>
      </c>
      <c r="B97" s="131"/>
      <c r="C97" s="124"/>
      <c r="D97" s="89"/>
      <c r="E97" s="124"/>
      <c r="F97" s="89"/>
      <c r="G97" s="89"/>
      <c r="H97" s="127"/>
      <c r="I97" s="180"/>
      <c r="J97" s="124"/>
      <c r="K97" s="124"/>
      <c r="L97" s="124"/>
      <c r="M97" s="127"/>
      <c r="N97" s="89"/>
      <c r="O97" s="89"/>
    </row>
    <row r="98" spans="1:15" ht="25.5">
      <c r="A98" s="137" t="s">
        <v>204</v>
      </c>
      <c r="B98" s="124"/>
      <c r="C98" s="124"/>
      <c r="D98" s="124"/>
      <c r="E98" s="135">
        <v>200</v>
      </c>
      <c r="F98" s="89"/>
      <c r="G98" s="89"/>
      <c r="H98" s="127"/>
      <c r="I98" s="180"/>
      <c r="J98" s="124"/>
      <c r="K98" s="124"/>
      <c r="L98" s="124"/>
      <c r="M98" s="127"/>
      <c r="N98" s="89"/>
      <c r="O98" s="89"/>
    </row>
    <row r="99" spans="1:15" ht="25.5">
      <c r="A99" s="137" t="s">
        <v>205</v>
      </c>
      <c r="B99" s="124"/>
      <c r="C99" s="124"/>
      <c r="D99" s="124"/>
      <c r="E99" s="135">
        <v>0.5</v>
      </c>
      <c r="F99" s="89"/>
      <c r="G99" s="89"/>
      <c r="H99" s="127"/>
      <c r="I99" s="180"/>
      <c r="J99" s="124"/>
      <c r="K99" s="124"/>
      <c r="L99" s="124"/>
      <c r="M99" s="127"/>
      <c r="N99" s="89"/>
      <c r="O99" s="89"/>
    </row>
    <row r="100" spans="1:15" ht="25.5">
      <c r="A100" s="166" t="s">
        <v>206</v>
      </c>
      <c r="B100" s="131"/>
      <c r="C100" s="124"/>
      <c r="D100" s="89">
        <v>18</v>
      </c>
      <c r="E100" s="135"/>
      <c r="F100" s="89"/>
      <c r="G100" s="89"/>
      <c r="H100" s="127"/>
      <c r="I100" s="180"/>
      <c r="J100" s="124"/>
      <c r="K100" s="124"/>
      <c r="L100" s="124"/>
      <c r="M100" s="127"/>
      <c r="N100" s="89"/>
      <c r="O100" s="89"/>
    </row>
    <row r="101" spans="1:15" ht="12.75">
      <c r="A101" s="123" t="s">
        <v>207</v>
      </c>
      <c r="B101" s="124"/>
      <c r="C101" s="124"/>
      <c r="D101" s="124"/>
      <c r="E101" s="135"/>
      <c r="F101" s="89"/>
      <c r="G101" s="89"/>
      <c r="H101" s="127"/>
      <c r="I101" s="180"/>
      <c r="J101" s="124"/>
      <c r="K101" s="124"/>
      <c r="L101" s="124"/>
      <c r="M101" s="127"/>
      <c r="N101" s="89"/>
      <c r="O101" s="89"/>
    </row>
    <row r="102" spans="1:15" ht="12.75">
      <c r="A102" s="124" t="s">
        <v>72</v>
      </c>
      <c r="B102" s="131"/>
      <c r="C102" s="124"/>
      <c r="D102" s="124">
        <v>22</v>
      </c>
      <c r="E102" s="135"/>
      <c r="F102" s="89"/>
      <c r="G102" s="89"/>
      <c r="H102" s="127"/>
      <c r="I102" s="188"/>
      <c r="J102" s="124"/>
      <c r="K102" s="124"/>
      <c r="L102" s="124"/>
      <c r="M102" s="127"/>
      <c r="N102" s="89"/>
      <c r="O102" s="89"/>
    </row>
    <row r="103" spans="1:15" ht="12.75">
      <c r="A103" s="124"/>
      <c r="B103" s="131"/>
      <c r="C103" s="124"/>
      <c r="D103" s="124"/>
      <c r="E103" s="135"/>
      <c r="F103" s="89"/>
      <c r="G103" s="89"/>
      <c r="H103" s="127"/>
      <c r="I103" s="124"/>
      <c r="J103" s="124"/>
      <c r="K103" s="124"/>
      <c r="L103" s="124"/>
      <c r="M103" s="127"/>
      <c r="N103" s="89"/>
      <c r="O103" s="89"/>
    </row>
    <row r="104" spans="1:15" ht="12.75">
      <c r="A104" s="104" t="s">
        <v>126</v>
      </c>
      <c r="B104" s="170"/>
      <c r="C104" s="89"/>
      <c r="D104" s="104">
        <f>SUM(D84+D85+D86+D87+D88+D89+E90+E91+E92+D93)</f>
        <v>339.51</v>
      </c>
      <c r="E104" s="104">
        <f>SUM(E84+E85+E87+E86+E88+D89+E90+E91+E92+E93)</f>
        <v>374.55</v>
      </c>
      <c r="F104" s="89"/>
      <c r="G104" s="89"/>
      <c r="H104" s="127"/>
      <c r="I104" s="124"/>
      <c r="J104" s="124"/>
      <c r="K104" s="124"/>
      <c r="L104" s="124"/>
      <c r="M104" s="127"/>
      <c r="N104" s="89"/>
      <c r="O104" s="89"/>
    </row>
    <row r="105" spans="1:15" s="95" customFormat="1" ht="13.5" thickBot="1">
      <c r="A105" s="171" t="s">
        <v>125</v>
      </c>
      <c r="B105" s="172"/>
      <c r="C105" s="173"/>
      <c r="D105" s="173">
        <f>SUM(E98+E99+D100)</f>
        <v>218.5</v>
      </c>
      <c r="E105" s="173">
        <f>SUM(E98+E99+D100)</f>
        <v>218.5</v>
      </c>
      <c r="F105" s="173"/>
      <c r="G105" s="173"/>
      <c r="H105" s="174"/>
      <c r="I105" s="173"/>
      <c r="J105" s="173"/>
      <c r="K105" s="173"/>
      <c r="L105" s="173"/>
      <c r="M105" s="174"/>
      <c r="N105" s="105"/>
      <c r="O105" s="105"/>
    </row>
    <row r="107" ht="12.75">
      <c r="A107" s="97" t="s">
        <v>220</v>
      </c>
    </row>
    <row r="108" ht="12.75">
      <c r="A108" s="97" t="s">
        <v>80</v>
      </c>
    </row>
    <row r="109" ht="12.75">
      <c r="A109" s="97" t="s">
        <v>87</v>
      </c>
    </row>
    <row r="110" ht="12.75">
      <c r="A110" s="90" t="s">
        <v>89</v>
      </c>
    </row>
    <row r="111" ht="12.75">
      <c r="A111" s="90" t="s">
        <v>54</v>
      </c>
    </row>
    <row r="112" ht="12.75">
      <c r="A112" s="90" t="s">
        <v>53</v>
      </c>
    </row>
    <row r="113" ht="12.75">
      <c r="A113" s="90" t="s">
        <v>31</v>
      </c>
    </row>
    <row r="114" ht="12.75">
      <c r="A114" s="90" t="s">
        <v>70</v>
      </c>
    </row>
    <row r="115" ht="12.75">
      <c r="A115" s="90" t="s">
        <v>132</v>
      </c>
    </row>
    <row r="116" ht="12.75">
      <c r="A116" s="90" t="s">
        <v>17</v>
      </c>
    </row>
    <row r="117" ht="12.75">
      <c r="A117" s="90" t="s">
        <v>149</v>
      </c>
    </row>
    <row r="118" ht="12.75">
      <c r="A118" s="90" t="s">
        <v>91</v>
      </c>
    </row>
    <row r="119" ht="12.75">
      <c r="A119" s="90" t="s">
        <v>203</v>
      </c>
    </row>
    <row r="120" ht="12.75">
      <c r="A120" s="90" t="s">
        <v>90</v>
      </c>
    </row>
    <row r="121" ht="12.75">
      <c r="A121" s="90" t="s">
        <v>95</v>
      </c>
    </row>
    <row r="122" ht="12.75">
      <c r="A122" s="90" t="s">
        <v>127</v>
      </c>
    </row>
    <row r="123" ht="12.75">
      <c r="A123" s="90" t="s">
        <v>128</v>
      </c>
    </row>
    <row r="124" ht="12.75">
      <c r="A124" s="90" t="s">
        <v>94</v>
      </c>
    </row>
    <row r="125" ht="12.75">
      <c r="A125" s="90" t="s">
        <v>177</v>
      </c>
    </row>
    <row r="126" ht="12.75">
      <c r="A126" s="90" t="s">
        <v>73</v>
      </c>
    </row>
    <row r="127" ht="12.75">
      <c r="A127" s="98" t="s">
        <v>18</v>
      </c>
    </row>
    <row r="128" ht="12.75">
      <c r="A128" s="98" t="s">
        <v>13</v>
      </c>
    </row>
    <row r="129" ht="12.75">
      <c r="A129" s="98" t="s">
        <v>14</v>
      </c>
    </row>
    <row r="131" ht="12.75">
      <c r="A131" s="98" t="s">
        <v>78</v>
      </c>
    </row>
    <row r="132" ht="12.75">
      <c r="A132" s="98" t="s">
        <v>77</v>
      </c>
    </row>
    <row r="133" ht="12.75">
      <c r="A133" s="98" t="s">
        <v>50</v>
      </c>
    </row>
    <row r="134" ht="12.75">
      <c r="A134" s="98" t="s">
        <v>12</v>
      </c>
    </row>
    <row r="135" ht="12.75">
      <c r="A135" s="98" t="s">
        <v>49</v>
      </c>
    </row>
    <row r="137" spans="1:8" ht="12.75">
      <c r="A137" s="99" t="s">
        <v>194</v>
      </c>
      <c r="B137" s="100"/>
      <c r="C137" s="100"/>
      <c r="D137" s="100"/>
      <c r="E137" s="100"/>
      <c r="F137" s="100"/>
      <c r="G137" s="100"/>
      <c r="H137" s="100"/>
    </row>
    <row r="138" spans="1:8" ht="12.75">
      <c r="A138" s="100" t="s">
        <v>195</v>
      </c>
      <c r="B138" s="100"/>
      <c r="C138" s="100"/>
      <c r="D138" s="100"/>
      <c r="E138" s="100"/>
      <c r="F138" s="100"/>
      <c r="G138" s="100"/>
      <c r="H138" s="100"/>
    </row>
    <row r="139" spans="1:8" ht="12.75">
      <c r="A139" s="100" t="s">
        <v>117</v>
      </c>
      <c r="B139" s="100"/>
      <c r="C139" s="100"/>
      <c r="D139" s="100"/>
      <c r="E139" s="100"/>
      <c r="F139" s="100"/>
      <c r="G139" s="100"/>
      <c r="H139" s="100"/>
    </row>
    <row r="140" spans="1:8" ht="12.75">
      <c r="A140" s="100" t="s">
        <v>75</v>
      </c>
      <c r="B140" s="100"/>
      <c r="C140" s="100"/>
      <c r="D140" s="100"/>
      <c r="E140" s="100"/>
      <c r="F140" s="100"/>
      <c r="G140" s="100"/>
      <c r="H140" s="100"/>
    </row>
    <row r="141" spans="1:8" ht="12.75">
      <c r="A141" s="100" t="s">
        <v>152</v>
      </c>
      <c r="B141" s="100"/>
      <c r="C141" s="100"/>
      <c r="D141" s="100"/>
      <c r="E141" s="100"/>
      <c r="F141" s="100"/>
      <c r="G141" s="100"/>
      <c r="H141" s="100"/>
    </row>
    <row r="142" spans="1:8" ht="12.75">
      <c r="A142" s="100"/>
      <c r="B142" s="100"/>
      <c r="C142" s="100"/>
      <c r="D142" s="100"/>
      <c r="E142" s="100"/>
      <c r="F142" s="100"/>
      <c r="G142" s="100"/>
      <c r="H142" s="100"/>
    </row>
    <row r="144" ht="12.75">
      <c r="A144" s="94"/>
    </row>
  </sheetData>
  <mergeCells count="3">
    <mergeCell ref="K3:L3"/>
    <mergeCell ref="F3:G3"/>
    <mergeCell ref="A1:H1"/>
  </mergeCells>
  <printOptions/>
  <pageMargins left="0.7480314960629921" right="0.7480314960629921" top="0.984251968503937" bottom="0.984251968503937" header="0.5118110236220472" footer="0.5118110236220472"/>
  <pageSetup horizontalDpi="600" verticalDpi="600" orientation="landscape" paperSize="9" scale="60"/>
</worksheet>
</file>

<file path=xl/worksheets/sheet2.xml><?xml version="1.0" encoding="utf-8"?>
<worksheet xmlns="http://schemas.openxmlformats.org/spreadsheetml/2006/main" xmlns:r="http://schemas.openxmlformats.org/officeDocument/2006/relationships">
  <dimension ref="A1:P63"/>
  <sheetViews>
    <sheetView zoomScale="125" zoomScaleNormal="125" workbookViewId="0" topLeftCell="H49">
      <selection activeCell="H5" sqref="H5"/>
    </sheetView>
  </sheetViews>
  <sheetFormatPr defaultColWidth="8.8515625" defaultRowHeight="12.75"/>
  <cols>
    <col min="1" max="1" width="29.421875" style="0" customWidth="1"/>
    <col min="2" max="4" width="11.28125" style="0" customWidth="1"/>
    <col min="5" max="5" width="13.7109375" style="0" customWidth="1"/>
    <col min="6" max="6" width="12.7109375" style="0" customWidth="1"/>
    <col min="7" max="7" width="10.140625" style="0" customWidth="1"/>
    <col min="8" max="8" width="13.140625" style="0" customWidth="1"/>
    <col min="9" max="9" width="13.28125" style="0" customWidth="1"/>
    <col min="10" max="10" width="14.00390625" style="0" customWidth="1"/>
    <col min="11" max="11" width="13.140625" style="0" customWidth="1"/>
    <col min="12" max="12" width="14.140625" style="0" customWidth="1"/>
    <col min="13" max="13" width="12.140625" style="0" customWidth="1"/>
    <col min="14" max="16384" width="11.421875" style="0" customWidth="1"/>
  </cols>
  <sheetData>
    <row r="1" spans="1:14" ht="15.75">
      <c r="A1" s="203" t="s">
        <v>16</v>
      </c>
      <c r="B1" s="203"/>
      <c r="C1" s="203"/>
      <c r="D1" s="203"/>
      <c r="E1" s="203"/>
      <c r="F1" s="203"/>
      <c r="G1" s="203"/>
      <c r="H1" s="203"/>
      <c r="I1" s="203"/>
      <c r="J1" s="3"/>
      <c r="K1" s="3"/>
      <c r="L1" s="3"/>
      <c r="M1" s="3"/>
      <c r="N1" s="3"/>
    </row>
    <row r="2" spans="1:14" ht="12.75">
      <c r="A2" s="2" t="s">
        <v>163</v>
      </c>
      <c r="B2" s="1"/>
      <c r="C2" s="1"/>
      <c r="D2" s="1"/>
      <c r="E2" s="1"/>
      <c r="F2" s="1"/>
      <c r="G2" s="1"/>
      <c r="H2" s="1"/>
      <c r="I2" s="1"/>
      <c r="J2" s="3"/>
      <c r="K2" s="3"/>
      <c r="L2" s="3"/>
      <c r="M2" s="3"/>
      <c r="N2" s="3"/>
    </row>
    <row r="3" spans="1:14" ht="16.5" thickBot="1">
      <c r="A3" s="14" t="s">
        <v>66</v>
      </c>
      <c r="B3" s="19"/>
      <c r="C3" s="8" t="s">
        <v>168</v>
      </c>
      <c r="D3" s="19"/>
      <c r="E3" s="19"/>
      <c r="F3" s="19"/>
      <c r="G3" s="19"/>
      <c r="H3" s="19"/>
      <c r="I3" s="9"/>
      <c r="J3" s="19"/>
      <c r="K3" s="19"/>
      <c r="L3" s="19"/>
      <c r="M3" s="19"/>
      <c r="N3" s="19"/>
    </row>
    <row r="4" spans="1:14" ht="12.75">
      <c r="A4" s="15" t="s">
        <v>64</v>
      </c>
      <c r="B4" s="28" t="s">
        <v>142</v>
      </c>
      <c r="C4" s="20"/>
      <c r="D4" s="30"/>
      <c r="E4" s="42" t="s">
        <v>143</v>
      </c>
      <c r="F4" s="43"/>
      <c r="G4" s="43"/>
      <c r="H4" s="43"/>
      <c r="I4" s="43"/>
      <c r="J4" s="29" t="s">
        <v>146</v>
      </c>
      <c r="K4" s="30"/>
      <c r="L4" s="59" t="s">
        <v>76</v>
      </c>
      <c r="M4" s="61" t="s">
        <v>21</v>
      </c>
      <c r="N4" s="7"/>
    </row>
    <row r="5" spans="1:14" s="50" customFormat="1" ht="51.75" thickBot="1">
      <c r="A5" s="48"/>
      <c r="B5" s="21" t="s">
        <v>129</v>
      </c>
      <c r="C5" s="13" t="s">
        <v>116</v>
      </c>
      <c r="D5" s="13" t="s">
        <v>63</v>
      </c>
      <c r="E5" s="36" t="s">
        <v>130</v>
      </c>
      <c r="F5" s="31" t="s">
        <v>135</v>
      </c>
      <c r="G5" s="31" t="s">
        <v>140</v>
      </c>
      <c r="H5" s="31" t="s">
        <v>131</v>
      </c>
      <c r="I5" s="31" t="s">
        <v>141</v>
      </c>
      <c r="J5" s="49" t="s">
        <v>216</v>
      </c>
      <c r="K5" s="48" t="s">
        <v>145</v>
      </c>
      <c r="L5" s="60" t="s">
        <v>215</v>
      </c>
      <c r="M5" s="62"/>
      <c r="N5" s="48"/>
    </row>
    <row r="6" spans="1:13" s="6" customFormat="1" ht="12.75">
      <c r="A6" s="16" t="s">
        <v>181</v>
      </c>
      <c r="B6" s="22">
        <f>129.8-231</f>
        <v>-101.19999999999999</v>
      </c>
      <c r="C6" s="12">
        <f>302.4-208.3</f>
        <v>94.09999999999997</v>
      </c>
      <c r="D6" s="16">
        <f>263.2-SUM(19.9+154.2+148.1)</f>
        <v>-59</v>
      </c>
      <c r="E6" s="37">
        <v>19.5</v>
      </c>
      <c r="F6" s="32">
        <v>2.028</v>
      </c>
      <c r="G6" s="32">
        <v>0.009</v>
      </c>
      <c r="H6" s="32">
        <v>0.004</v>
      </c>
      <c r="I6" s="44">
        <v>14.125</v>
      </c>
      <c r="J6" s="22">
        <v>78.7</v>
      </c>
      <c r="K6" s="16">
        <v>9.2</v>
      </c>
      <c r="L6" s="55">
        <v>50.8</v>
      </c>
      <c r="M6" s="54">
        <v>0.936</v>
      </c>
    </row>
    <row r="7" spans="1:13" s="6" customFormat="1" ht="12.75">
      <c r="A7" s="17" t="s">
        <v>173</v>
      </c>
      <c r="B7" s="23">
        <f>23.1-71.4</f>
        <v>-48.300000000000004</v>
      </c>
      <c r="C7" s="10">
        <f>140.5-93.9</f>
        <v>46.599999999999994</v>
      </c>
      <c r="D7" s="17">
        <f>100.4-SUM(6+44.2+67.1)</f>
        <v>-16.89999999999999</v>
      </c>
      <c r="E7" s="38">
        <v>11.5</v>
      </c>
      <c r="F7" s="33">
        <v>0.487</v>
      </c>
      <c r="G7" s="33">
        <v>0.005</v>
      </c>
      <c r="H7" s="33">
        <v>0.002</v>
      </c>
      <c r="I7" s="45">
        <v>2.052</v>
      </c>
      <c r="J7" s="23">
        <v>41.9</v>
      </c>
      <c r="K7" s="17">
        <v>5.2</v>
      </c>
      <c r="L7" s="56">
        <v>34.2</v>
      </c>
      <c r="M7" s="51">
        <v>0.251</v>
      </c>
    </row>
    <row r="8" spans="1:13" ht="12.75">
      <c r="A8" s="18" t="s">
        <v>182</v>
      </c>
      <c r="B8" s="24">
        <f>14-38.7</f>
        <v>-24.700000000000003</v>
      </c>
      <c r="C8" s="11">
        <f>76.8-40.3</f>
        <v>36.5</v>
      </c>
      <c r="D8" s="18">
        <f>71.6-SUM(3.1+32.9+45.7)</f>
        <v>-10.100000000000009</v>
      </c>
      <c r="E8" s="39">
        <v>5.115</v>
      </c>
      <c r="F8" s="34">
        <v>0.316</v>
      </c>
      <c r="G8" s="34">
        <v>0.002</v>
      </c>
      <c r="H8" s="34">
        <v>0.001</v>
      </c>
      <c r="I8" s="46">
        <v>0.626</v>
      </c>
      <c r="J8" s="24">
        <v>25.3</v>
      </c>
      <c r="K8" s="18">
        <v>2.4</v>
      </c>
      <c r="L8" s="57">
        <v>16.3</v>
      </c>
      <c r="M8" s="52">
        <v>0.163</v>
      </c>
    </row>
    <row r="9" spans="1:13" ht="12.75">
      <c r="A9" s="18" t="s">
        <v>111</v>
      </c>
      <c r="B9" s="24">
        <f>9.1-29.5</f>
        <v>-20.4</v>
      </c>
      <c r="C9" s="11">
        <f>69.4-34</f>
        <v>35.400000000000006</v>
      </c>
      <c r="D9" s="18" t="s">
        <v>25</v>
      </c>
      <c r="E9" s="39">
        <v>3.899</v>
      </c>
      <c r="F9" s="34">
        <v>0.125</v>
      </c>
      <c r="G9" s="34">
        <v>0.002</v>
      </c>
      <c r="H9" s="34">
        <v>0.001</v>
      </c>
      <c r="I9" s="46">
        <v>0.561</v>
      </c>
      <c r="J9" s="24">
        <v>21.1</v>
      </c>
      <c r="K9" s="18">
        <v>2.3</v>
      </c>
      <c r="L9" s="57">
        <v>13.6</v>
      </c>
      <c r="M9" s="52">
        <v>0.102</v>
      </c>
    </row>
    <row r="10" spans="1:13" ht="12.75">
      <c r="A10" s="18" t="s">
        <v>112</v>
      </c>
      <c r="B10" s="24">
        <f>0.4-3.2</f>
        <v>-2.8000000000000003</v>
      </c>
      <c r="C10" s="11">
        <f>3.9-3.7</f>
        <v>0.19999999999999973</v>
      </c>
      <c r="D10" s="18" t="s">
        <v>25</v>
      </c>
      <c r="E10" s="39">
        <v>0.75</v>
      </c>
      <c r="F10" s="34">
        <v>0.023</v>
      </c>
      <c r="G10" s="34">
        <v>0</v>
      </c>
      <c r="H10" s="34">
        <v>0</v>
      </c>
      <c r="I10" s="46">
        <v>0.049</v>
      </c>
      <c r="J10" s="24">
        <v>1.8</v>
      </c>
      <c r="K10" s="18">
        <v>0.1</v>
      </c>
      <c r="L10" s="57">
        <v>1.8</v>
      </c>
      <c r="M10" s="52">
        <v>0.017</v>
      </c>
    </row>
    <row r="11" spans="1:13" ht="12.75">
      <c r="A11" s="18" t="s">
        <v>113</v>
      </c>
      <c r="B11" s="24">
        <f>4.5-6.1</f>
        <v>-1.5999999999999996</v>
      </c>
      <c r="C11" s="11">
        <f>3.5-2.6</f>
        <v>0.8999999999999999</v>
      </c>
      <c r="D11" s="18" t="s">
        <v>25</v>
      </c>
      <c r="E11" s="39">
        <v>0.465</v>
      </c>
      <c r="F11" s="34">
        <v>0.168</v>
      </c>
      <c r="G11" s="34">
        <v>0</v>
      </c>
      <c r="H11" s="34">
        <v>0</v>
      </c>
      <c r="I11" s="46">
        <v>0.016</v>
      </c>
      <c r="J11" s="24">
        <v>2.4</v>
      </c>
      <c r="K11" s="18">
        <v>0</v>
      </c>
      <c r="L11" s="57">
        <v>0.9</v>
      </c>
      <c r="M11" s="52">
        <v>0.045</v>
      </c>
    </row>
    <row r="12" spans="1:13" ht="12.75">
      <c r="A12" s="18" t="s">
        <v>183</v>
      </c>
      <c r="B12" s="24">
        <f>2.8-7.9</f>
        <v>-5.1000000000000005</v>
      </c>
      <c r="C12" s="11">
        <f>16.3-9.9</f>
        <v>6.4</v>
      </c>
      <c r="D12" s="18">
        <f>6.8-SUM(1.6+1.8+5.3)</f>
        <v>-1.8999999999999995</v>
      </c>
      <c r="E12" s="39">
        <v>2.34</v>
      </c>
      <c r="F12" s="34">
        <v>0.07</v>
      </c>
      <c r="G12" s="34">
        <v>0</v>
      </c>
      <c r="H12" s="34">
        <v>1</v>
      </c>
      <c r="I12" s="46">
        <v>0.798</v>
      </c>
      <c r="J12" s="24">
        <v>5.2</v>
      </c>
      <c r="K12" s="18">
        <v>0.1</v>
      </c>
      <c r="L12" s="57">
        <v>4.9</v>
      </c>
      <c r="M12" s="52">
        <v>0.027</v>
      </c>
    </row>
    <row r="13" spans="1:13" ht="12.75">
      <c r="A13" s="18" t="s">
        <v>114</v>
      </c>
      <c r="B13" s="24">
        <f>0-2.3</f>
        <v>-2.3</v>
      </c>
      <c r="C13" s="11">
        <f>7.9-5.1</f>
        <v>2.8000000000000007</v>
      </c>
      <c r="D13" s="18" t="s">
        <v>25</v>
      </c>
      <c r="E13" s="39">
        <v>1.194</v>
      </c>
      <c r="F13" s="34">
        <v>0.002</v>
      </c>
      <c r="G13" s="34">
        <v>0</v>
      </c>
      <c r="H13" s="34">
        <v>0</v>
      </c>
      <c r="I13" s="46">
        <v>0.55</v>
      </c>
      <c r="J13" s="24">
        <v>2.5</v>
      </c>
      <c r="K13" s="18">
        <v>0</v>
      </c>
      <c r="L13" s="57">
        <v>2.8</v>
      </c>
      <c r="M13" s="52">
        <v>0.006</v>
      </c>
    </row>
    <row r="14" spans="1:13" ht="12.75">
      <c r="A14" s="18" t="s">
        <v>115</v>
      </c>
      <c r="B14" s="24">
        <f>2-3.5</f>
        <v>-1.5</v>
      </c>
      <c r="C14" s="11">
        <f>3.5-5.1</f>
        <v>-1.5999999999999996</v>
      </c>
      <c r="D14" s="18" t="s">
        <v>25</v>
      </c>
      <c r="E14" s="39">
        <v>0.822</v>
      </c>
      <c r="F14" s="34">
        <v>0.008</v>
      </c>
      <c r="G14" s="34">
        <v>0</v>
      </c>
      <c r="H14" s="34">
        <v>0</v>
      </c>
      <c r="I14" s="46">
        <v>0.177</v>
      </c>
      <c r="J14" s="24">
        <v>1.5</v>
      </c>
      <c r="K14" s="18">
        <v>0</v>
      </c>
      <c r="L14" s="57">
        <v>1.3</v>
      </c>
      <c r="M14" s="52">
        <v>0.009</v>
      </c>
    </row>
    <row r="15" spans="1:13" ht="12.75">
      <c r="A15" s="18" t="s">
        <v>20</v>
      </c>
      <c r="B15" s="24">
        <f>0.8-2</f>
        <v>-1.2</v>
      </c>
      <c r="C15" s="11">
        <f>4.8-2.1</f>
        <v>2.6999999999999997</v>
      </c>
      <c r="D15" s="18" t="s">
        <v>25</v>
      </c>
      <c r="E15" s="39">
        <v>0.324</v>
      </c>
      <c r="F15" s="34">
        <v>0.059</v>
      </c>
      <c r="G15" s="34">
        <v>0</v>
      </c>
      <c r="H15" s="34">
        <v>0</v>
      </c>
      <c r="I15" s="46">
        <v>0.07</v>
      </c>
      <c r="J15" s="24">
        <v>1.2</v>
      </c>
      <c r="K15" s="18">
        <v>0</v>
      </c>
      <c r="L15" s="57">
        <v>0.8</v>
      </c>
      <c r="M15" s="52">
        <v>0.012</v>
      </c>
    </row>
    <row r="16" spans="1:13" ht="12.75">
      <c r="A16" s="18" t="s">
        <v>184</v>
      </c>
      <c r="B16" s="24">
        <f>6.3-24.8</f>
        <v>-18.5</v>
      </c>
      <c r="C16" s="11">
        <f>47.4-43.7</f>
        <v>3.6999999999999957</v>
      </c>
      <c r="D16" s="18">
        <f>22-SUM(1.3+9.5+16)</f>
        <v>-4.800000000000001</v>
      </c>
      <c r="E16" s="39">
        <v>4.045</v>
      </c>
      <c r="F16" s="34">
        <v>0.102</v>
      </c>
      <c r="G16" s="34">
        <v>3</v>
      </c>
      <c r="H16" s="34">
        <v>0</v>
      </c>
      <c r="I16" s="46">
        <v>0.629</v>
      </c>
      <c r="J16" s="24">
        <v>11.3</v>
      </c>
      <c r="K16" s="18">
        <v>2.7</v>
      </c>
      <c r="L16" s="57">
        <v>13</v>
      </c>
      <c r="M16" s="52">
        <v>0.061</v>
      </c>
    </row>
    <row r="17" spans="1:13" s="6" customFormat="1" ht="12.75">
      <c r="A17" s="17" t="s">
        <v>185</v>
      </c>
      <c r="B17" s="23">
        <f>5.6-10.9</f>
        <v>-5.300000000000001</v>
      </c>
      <c r="C17" s="10">
        <f>17.7-11.9</f>
        <v>5.799999999999999</v>
      </c>
      <c r="D17" s="17">
        <f>38.8-SUM(1.3+24.6+22.7)</f>
        <v>-9.800000000000004</v>
      </c>
      <c r="E17" s="38">
        <v>1.061</v>
      </c>
      <c r="F17" s="33">
        <v>0.369</v>
      </c>
      <c r="G17" s="33">
        <v>0</v>
      </c>
      <c r="H17" s="33">
        <v>0</v>
      </c>
      <c r="I17" s="45">
        <v>0.804</v>
      </c>
      <c r="J17" s="23">
        <v>5.3</v>
      </c>
      <c r="K17" s="17">
        <v>0</v>
      </c>
      <c r="L17" s="56">
        <v>2.5</v>
      </c>
      <c r="M17" s="51">
        <v>0.084</v>
      </c>
    </row>
    <row r="18" spans="1:13" ht="12.75">
      <c r="A18" s="18" t="s">
        <v>186</v>
      </c>
      <c r="B18" s="24">
        <f>3.2-4.2</f>
        <v>-1</v>
      </c>
      <c r="C18" s="11">
        <f>10.1-6.2</f>
        <v>3.8999999999999995</v>
      </c>
      <c r="D18" s="18">
        <f>29.1-SUM(0.6+18.4+16.9)</f>
        <v>-6.799999999999997</v>
      </c>
      <c r="E18" s="39">
        <v>0.596</v>
      </c>
      <c r="F18" s="34">
        <v>0.157</v>
      </c>
      <c r="G18" s="34">
        <v>0</v>
      </c>
      <c r="H18" s="34">
        <v>0</v>
      </c>
      <c r="I18" s="46">
        <v>0.26</v>
      </c>
      <c r="J18" s="24">
        <v>3.6</v>
      </c>
      <c r="K18" s="18">
        <v>0</v>
      </c>
      <c r="L18" s="57">
        <v>1.4</v>
      </c>
      <c r="M18" s="52">
        <v>0.028</v>
      </c>
    </row>
    <row r="19" spans="1:13" ht="12.75">
      <c r="A19" s="18" t="s">
        <v>187</v>
      </c>
      <c r="B19" s="24">
        <f>2.4-6.7</f>
        <v>-4.300000000000001</v>
      </c>
      <c r="C19" s="11">
        <f>7.7-5.6</f>
        <v>2.1000000000000005</v>
      </c>
      <c r="D19" s="18">
        <f>9.7-SUM(0.7+6.2+5.7)</f>
        <v>-2.900000000000002</v>
      </c>
      <c r="E19" s="39">
        <v>0.465</v>
      </c>
      <c r="F19" s="34">
        <v>0.212</v>
      </c>
      <c r="G19" s="34">
        <v>0</v>
      </c>
      <c r="H19" s="34">
        <v>0</v>
      </c>
      <c r="I19" s="46">
        <v>0.544</v>
      </c>
      <c r="J19" s="24">
        <v>1.7</v>
      </c>
      <c r="K19" s="18">
        <v>0</v>
      </c>
      <c r="L19" s="57">
        <v>1</v>
      </c>
      <c r="M19" s="52">
        <v>0.056</v>
      </c>
    </row>
    <row r="20" spans="1:13" s="6" customFormat="1" ht="12.75">
      <c r="A20" s="17" t="s">
        <v>188</v>
      </c>
      <c r="B20" s="23">
        <f>101.1-148.7</f>
        <v>-47.599999999999994</v>
      </c>
      <c r="C20" s="10">
        <f>144.2-102.6</f>
        <v>41.599999999999994</v>
      </c>
      <c r="D20" s="17">
        <f>124-SUM(12.7+85.5+58.3)</f>
        <v>-32.5</v>
      </c>
      <c r="E20" s="38">
        <v>6.939</v>
      </c>
      <c r="F20" s="33">
        <v>1.171</v>
      </c>
      <c r="G20" s="33">
        <v>3</v>
      </c>
      <c r="H20" s="33">
        <v>2</v>
      </c>
      <c r="I20" s="45">
        <v>11.269</v>
      </c>
      <c r="J20" s="23">
        <v>31.5</v>
      </c>
      <c r="K20" s="17">
        <v>4</v>
      </c>
      <c r="L20" s="56">
        <v>14.1</v>
      </c>
      <c r="M20" s="51">
        <v>0.6</v>
      </c>
    </row>
    <row r="21" spans="1:13" ht="12.75">
      <c r="A21" s="18" t="s">
        <v>189</v>
      </c>
      <c r="B21" s="24">
        <f>74.9-108.7</f>
        <v>-33.8</v>
      </c>
      <c r="C21" s="11">
        <f>106.6-72.9</f>
        <v>33.69999999999999</v>
      </c>
      <c r="D21" s="18">
        <f>45.6+SUM(11.5+25.5+17.6)</f>
        <v>100.2</v>
      </c>
      <c r="E21" s="39">
        <v>4.887</v>
      </c>
      <c r="F21" s="34">
        <v>0.691</v>
      </c>
      <c r="G21" s="34">
        <v>2</v>
      </c>
      <c r="H21" s="34">
        <v>1</v>
      </c>
      <c r="I21" s="46">
        <v>10.691</v>
      </c>
      <c r="J21" s="24">
        <v>18.9</v>
      </c>
      <c r="K21" s="18">
        <v>1.6</v>
      </c>
      <c r="L21" s="57">
        <v>9</v>
      </c>
      <c r="M21" s="52">
        <v>0.358</v>
      </c>
    </row>
    <row r="22" spans="1:13" ht="12.75">
      <c r="A22" s="18" t="s">
        <v>193</v>
      </c>
      <c r="B22" s="24">
        <f>46.4-64.5</f>
        <v>-18.1</v>
      </c>
      <c r="C22" s="11">
        <f>64.8-39.6</f>
        <v>25.199999999999996</v>
      </c>
      <c r="D22" s="18">
        <f>24.1-SUM(9.2+13.5+4.8)</f>
        <v>-3.3999999999999986</v>
      </c>
      <c r="E22" s="39">
        <v>3.157</v>
      </c>
      <c r="F22" s="34">
        <v>0.421</v>
      </c>
      <c r="G22" s="34">
        <v>2</v>
      </c>
      <c r="H22" s="34">
        <v>1</v>
      </c>
      <c r="I22" s="46">
        <v>8.621</v>
      </c>
      <c r="J22" s="24">
        <v>10.6</v>
      </c>
      <c r="K22" s="18">
        <v>0.8</v>
      </c>
      <c r="L22" s="57">
        <v>4.3</v>
      </c>
      <c r="M22" s="52">
        <v>0.138</v>
      </c>
    </row>
    <row r="23" spans="1:13" ht="12.75">
      <c r="A23" s="18" t="s">
        <v>61</v>
      </c>
      <c r="B23" s="24">
        <f>19.6-26.3</f>
        <v>-6.699999999999999</v>
      </c>
      <c r="C23" s="11">
        <f>24.9-18.3</f>
        <v>6.599999999999998</v>
      </c>
      <c r="D23" s="18">
        <f>4.8-SUM(1.5+1.9+2.1)</f>
        <v>-0.7000000000000002</v>
      </c>
      <c r="E23" s="39">
        <v>0.727</v>
      </c>
      <c r="F23" s="34">
        <v>0.154</v>
      </c>
      <c r="G23" s="34">
        <v>0</v>
      </c>
      <c r="H23" s="34">
        <v>0</v>
      </c>
      <c r="I23" s="46">
        <v>0.982</v>
      </c>
      <c r="J23" s="24">
        <v>2</v>
      </c>
      <c r="K23" s="18">
        <v>0.2</v>
      </c>
      <c r="L23" s="57">
        <v>2.5</v>
      </c>
      <c r="M23" s="52">
        <v>0.118</v>
      </c>
    </row>
    <row r="24" spans="1:13" ht="12.75">
      <c r="A24" s="18" t="s">
        <v>62</v>
      </c>
      <c r="B24" s="24">
        <f>3.4-4.7</f>
        <v>-1.3000000000000003</v>
      </c>
      <c r="C24" s="11">
        <f>5-3.7</f>
        <v>1.2999999999999998</v>
      </c>
      <c r="D24" s="18">
        <f>5-SUM(0.5+1.9+3.3)</f>
        <v>-0.6999999999999993</v>
      </c>
      <c r="E24" s="39">
        <v>0.202</v>
      </c>
      <c r="F24" s="34">
        <v>0.041</v>
      </c>
      <c r="G24" s="34">
        <v>0</v>
      </c>
      <c r="H24" s="34">
        <v>0</v>
      </c>
      <c r="I24" s="46">
        <v>0.214</v>
      </c>
      <c r="J24" s="24">
        <v>1.7</v>
      </c>
      <c r="K24" s="18">
        <v>0.2</v>
      </c>
      <c r="L24" s="57">
        <v>0.7</v>
      </c>
      <c r="M24" s="52">
        <v>0.031</v>
      </c>
    </row>
    <row r="25" spans="1:13" ht="12.75">
      <c r="A25" s="18" t="s">
        <v>217</v>
      </c>
      <c r="B25" s="24">
        <f>5.4-13.3</f>
        <v>-7.9</v>
      </c>
      <c r="C25" s="11">
        <f>11.8-11.3</f>
        <v>0.5</v>
      </c>
      <c r="D25" s="18">
        <f>11.8-SUM(0.4+8.2+7.4)</f>
        <v>-4.199999999999999</v>
      </c>
      <c r="E25" s="39">
        <v>0.802</v>
      </c>
      <c r="F25" s="34">
        <v>0.075</v>
      </c>
      <c r="G25" s="34">
        <v>0</v>
      </c>
      <c r="H25" s="34">
        <v>0</v>
      </c>
      <c r="I25" s="46">
        <v>0.875</v>
      </c>
      <c r="J25" s="24">
        <v>4.7</v>
      </c>
      <c r="K25" s="18">
        <v>0.4</v>
      </c>
      <c r="L25" s="57">
        <v>1.5</v>
      </c>
      <c r="M25" s="52">
        <v>0.071</v>
      </c>
    </row>
    <row r="26" spans="1:13" ht="12.75">
      <c r="A26" s="18" t="s">
        <v>190</v>
      </c>
      <c r="B26" s="24">
        <f>10.3-17.3</f>
        <v>-7</v>
      </c>
      <c r="C26" s="11">
        <f>12.7-13</f>
        <v>-0.3000000000000007</v>
      </c>
      <c r="D26" s="18">
        <f>17.3-SUM(0.4+14.5+10.2)</f>
        <v>-7.800000000000001</v>
      </c>
      <c r="E26" s="39">
        <v>0.798</v>
      </c>
      <c r="F26" s="34">
        <v>0.125</v>
      </c>
      <c r="G26" s="34">
        <v>1</v>
      </c>
      <c r="H26" s="34">
        <v>0</v>
      </c>
      <c r="I26" s="46">
        <v>0.278</v>
      </c>
      <c r="J26" s="24">
        <v>4.6</v>
      </c>
      <c r="K26" s="18">
        <v>2</v>
      </c>
      <c r="L26" s="57">
        <v>1.1</v>
      </c>
      <c r="M26" s="52">
        <v>0.088</v>
      </c>
    </row>
    <row r="27" spans="1:13" ht="12.75">
      <c r="A27" s="18" t="s">
        <v>218</v>
      </c>
      <c r="B27" s="24">
        <f>1.9-4.6</f>
        <v>-2.6999999999999997</v>
      </c>
      <c r="C27" s="11">
        <f>3.4-4.4</f>
        <v>-1.0000000000000004</v>
      </c>
      <c r="D27" s="18">
        <f>4.5-SUM(5.3+1.8)</f>
        <v>-2.5999999999999996</v>
      </c>
      <c r="E27" s="39">
        <v>0.393</v>
      </c>
      <c r="F27" s="34">
        <v>0.021</v>
      </c>
      <c r="G27" s="34">
        <v>0</v>
      </c>
      <c r="H27" s="34">
        <v>0</v>
      </c>
      <c r="I27" s="46">
        <v>0.199</v>
      </c>
      <c r="J27" s="24">
        <v>2.2</v>
      </c>
      <c r="K27" s="18">
        <v>2</v>
      </c>
      <c r="L27" s="57">
        <v>0.4</v>
      </c>
      <c r="M27" s="52">
        <v>0.037</v>
      </c>
    </row>
    <row r="28" spans="1:13" ht="12.75">
      <c r="A28" s="18" t="s">
        <v>219</v>
      </c>
      <c r="B28" s="24">
        <f>8.4-13.4</f>
        <v>-5</v>
      </c>
      <c r="C28" s="11">
        <f>9.3-8.6</f>
        <v>0.7000000000000011</v>
      </c>
      <c r="D28" s="18">
        <f>12.8-SUM(0.4+9.2+8.4)</f>
        <v>-5.199999999999999</v>
      </c>
      <c r="E28" s="39">
        <v>0.405</v>
      </c>
      <c r="F28" s="34">
        <v>0.104</v>
      </c>
      <c r="G28" s="34">
        <v>0</v>
      </c>
      <c r="H28" s="34">
        <v>0</v>
      </c>
      <c r="I28" s="46">
        <v>0.08</v>
      </c>
      <c r="J28" s="24">
        <v>2.5</v>
      </c>
      <c r="K28" s="18">
        <v>0</v>
      </c>
      <c r="L28" s="57">
        <v>0.7</v>
      </c>
      <c r="M28" s="52">
        <v>0.051</v>
      </c>
    </row>
    <row r="29" spans="1:13" ht="12.75">
      <c r="A29" s="18" t="s">
        <v>191</v>
      </c>
      <c r="B29" s="24">
        <f>9.9-13.4</f>
        <v>-3.5</v>
      </c>
      <c r="C29" s="11">
        <f>14.1-9.5</f>
        <v>4.6</v>
      </c>
      <c r="D29" s="18">
        <f>27.5-SUM(0.8+18.7+15.9)</f>
        <v>-7.899999999999999</v>
      </c>
      <c r="E29" s="39">
        <v>0.41</v>
      </c>
      <c r="F29" s="34">
        <v>0.217</v>
      </c>
      <c r="G29" s="34">
        <v>0</v>
      </c>
      <c r="H29" s="34">
        <v>0</v>
      </c>
      <c r="I29" s="46">
        <v>0.275</v>
      </c>
      <c r="J29" s="24">
        <v>3.6</v>
      </c>
      <c r="K29" s="18">
        <v>0.3</v>
      </c>
      <c r="L29" s="57">
        <v>2.8</v>
      </c>
      <c r="M29" s="52">
        <v>0.086</v>
      </c>
    </row>
    <row r="30" spans="1:13" ht="13.5" thickBot="1">
      <c r="A30" s="27" t="s">
        <v>192</v>
      </c>
      <c r="B30" s="25" t="s">
        <v>25</v>
      </c>
      <c r="C30" s="26" t="s">
        <v>25</v>
      </c>
      <c r="D30" s="35" t="s">
        <v>25</v>
      </c>
      <c r="E30" s="40">
        <v>0.844</v>
      </c>
      <c r="F30" s="41">
        <v>0.139</v>
      </c>
      <c r="G30" s="41">
        <v>0</v>
      </c>
      <c r="H30" s="41">
        <v>0</v>
      </c>
      <c r="I30" s="47">
        <v>0.024</v>
      </c>
      <c r="J30" s="25">
        <v>4.3</v>
      </c>
      <c r="K30" s="35">
        <v>0</v>
      </c>
      <c r="L30" s="58">
        <v>1.3</v>
      </c>
      <c r="M30" s="53">
        <v>0.067</v>
      </c>
    </row>
    <row r="33" spans="1:15" ht="16.5" thickBot="1">
      <c r="A33" s="14" t="s">
        <v>67</v>
      </c>
      <c r="B33" s="63"/>
      <c r="C33" s="64" t="s">
        <v>168</v>
      </c>
      <c r="D33" s="63"/>
      <c r="E33" s="63"/>
      <c r="F33" s="63"/>
      <c r="G33" s="63"/>
      <c r="H33" s="63"/>
      <c r="I33" s="63"/>
      <c r="J33" s="63"/>
      <c r="K33" s="63"/>
      <c r="L33" s="111"/>
      <c r="M33" s="111"/>
      <c r="N33" s="111"/>
      <c r="O33" s="111"/>
    </row>
    <row r="34" spans="1:15" ht="12.75">
      <c r="A34" s="75" t="s">
        <v>64</v>
      </c>
      <c r="B34" s="29" t="s">
        <v>161</v>
      </c>
      <c r="C34" s="76"/>
      <c r="D34" s="29" t="s">
        <v>101</v>
      </c>
      <c r="E34" s="76"/>
      <c r="F34" s="30"/>
      <c r="G34" s="77"/>
      <c r="H34" s="29" t="s">
        <v>59</v>
      </c>
      <c r="I34" s="76"/>
      <c r="J34" s="30"/>
      <c r="K34" s="77"/>
      <c r="L34" s="29" t="s">
        <v>46</v>
      </c>
      <c r="M34" s="76"/>
      <c r="N34" s="30"/>
      <c r="O34" s="77"/>
    </row>
    <row r="35" spans="1:15" ht="15">
      <c r="A35" s="65"/>
      <c r="B35" s="73"/>
      <c r="C35" s="4"/>
      <c r="D35" s="73" t="s">
        <v>109</v>
      </c>
      <c r="E35" s="4"/>
      <c r="F35" s="4" t="s">
        <v>110</v>
      </c>
      <c r="G35" s="74"/>
      <c r="H35" s="73" t="s">
        <v>10</v>
      </c>
      <c r="I35" s="4"/>
      <c r="J35" s="4" t="s">
        <v>69</v>
      </c>
      <c r="K35" s="74"/>
      <c r="L35" s="73"/>
      <c r="M35" s="4"/>
      <c r="N35" s="4"/>
      <c r="O35" s="74"/>
    </row>
    <row r="36" spans="1:16" ht="38.25">
      <c r="A36" s="66"/>
      <c r="B36" s="70" t="s">
        <v>97</v>
      </c>
      <c r="C36" s="72" t="s">
        <v>103</v>
      </c>
      <c r="D36" s="70" t="s">
        <v>102</v>
      </c>
      <c r="E36" s="72" t="s">
        <v>103</v>
      </c>
      <c r="F36" s="72" t="s">
        <v>102</v>
      </c>
      <c r="G36" s="71" t="s">
        <v>103</v>
      </c>
      <c r="H36" s="70" t="s">
        <v>68</v>
      </c>
      <c r="I36" s="72" t="s">
        <v>11</v>
      </c>
      <c r="J36" s="72" t="s">
        <v>68</v>
      </c>
      <c r="K36" s="71" t="s">
        <v>11</v>
      </c>
      <c r="L36" s="107" t="s">
        <v>42</v>
      </c>
      <c r="M36" s="107" t="s">
        <v>43</v>
      </c>
      <c r="N36" s="109" t="s">
        <v>44</v>
      </c>
      <c r="O36" s="107" t="s">
        <v>45</v>
      </c>
      <c r="P36" s="108"/>
    </row>
    <row r="37" spans="1:15" s="6" customFormat="1" ht="12.75">
      <c r="A37" s="16" t="s">
        <v>181</v>
      </c>
      <c r="B37" s="23">
        <v>11</v>
      </c>
      <c r="C37" s="17">
        <v>9</v>
      </c>
      <c r="D37" s="23">
        <v>4.702</v>
      </c>
      <c r="E37" s="17">
        <v>4.014</v>
      </c>
      <c r="F37" s="10">
        <v>10.634</v>
      </c>
      <c r="G37" s="78">
        <v>9.496</v>
      </c>
      <c r="H37" s="23">
        <f>SUM(H39+H43+H47+H48+H52+H57+H60+H61)</f>
        <v>7.627000000000001</v>
      </c>
      <c r="I37" s="10">
        <v>30.508</v>
      </c>
      <c r="J37" s="17">
        <v>32.514</v>
      </c>
      <c r="K37" s="69">
        <v>130.058</v>
      </c>
      <c r="L37" s="6">
        <f>SUM(L51+L38)</f>
        <v>3.3899999999999997</v>
      </c>
      <c r="M37" s="10">
        <f>SUM(M38+M51)</f>
        <v>0.062</v>
      </c>
      <c r="N37" s="17">
        <f>SUM(N38+N51)</f>
        <v>10.782</v>
      </c>
      <c r="O37" s="69">
        <f>SUM(L37:N37)</f>
        <v>14.234</v>
      </c>
    </row>
    <row r="38" spans="1:15" s="6" customFormat="1" ht="12.75">
      <c r="A38" s="17" t="s">
        <v>173</v>
      </c>
      <c r="B38" s="23"/>
      <c r="C38" s="17"/>
      <c r="D38" s="23">
        <f aca="true" t="shared" si="0" ref="D38:K38">SUM(D39+D43+D47)</f>
        <v>2.199</v>
      </c>
      <c r="E38" s="17">
        <f t="shared" si="0"/>
        <v>1.8940000000000001</v>
      </c>
      <c r="F38" s="10">
        <f t="shared" si="0"/>
        <v>4.887</v>
      </c>
      <c r="G38" s="78">
        <f t="shared" si="0"/>
        <v>4.383</v>
      </c>
      <c r="H38" s="23">
        <f t="shared" si="0"/>
        <v>5.2090000000000005</v>
      </c>
      <c r="I38" s="10">
        <f t="shared" si="0"/>
        <v>20.834</v>
      </c>
      <c r="J38" s="17">
        <f t="shared" si="0"/>
        <v>22.204</v>
      </c>
      <c r="K38" s="69">
        <f t="shared" si="0"/>
        <v>88.819</v>
      </c>
      <c r="L38" s="6">
        <v>2.037</v>
      </c>
      <c r="M38" s="10">
        <v>0</v>
      </c>
      <c r="N38" s="6">
        <v>4.96</v>
      </c>
      <c r="O38" s="69">
        <f>SUM(L38:N38)</f>
        <v>6.997</v>
      </c>
    </row>
    <row r="39" spans="1:15" ht="12.75">
      <c r="A39" s="18" t="s">
        <v>182</v>
      </c>
      <c r="B39" s="24"/>
      <c r="C39" s="18"/>
      <c r="D39" s="24">
        <v>1.002</v>
      </c>
      <c r="E39" s="18">
        <v>0.882</v>
      </c>
      <c r="F39" s="11">
        <v>2.022</v>
      </c>
      <c r="G39" s="79">
        <v>1.838</v>
      </c>
      <c r="H39" s="24">
        <v>3.736</v>
      </c>
      <c r="I39" s="11">
        <v>14.943</v>
      </c>
      <c r="J39" s="18">
        <v>15.925</v>
      </c>
      <c r="K39" s="68">
        <v>63.702</v>
      </c>
      <c r="L39" s="24"/>
      <c r="M39" s="11"/>
      <c r="N39" s="18"/>
      <c r="O39" s="68"/>
    </row>
    <row r="40" spans="1:15" ht="12.75">
      <c r="A40" s="18" t="s">
        <v>111</v>
      </c>
      <c r="B40" s="24"/>
      <c r="C40" s="18"/>
      <c r="D40" s="24"/>
      <c r="E40" s="18"/>
      <c r="F40" s="11"/>
      <c r="G40" s="79"/>
      <c r="H40" s="24"/>
      <c r="I40" s="11"/>
      <c r="J40" s="18"/>
      <c r="K40" s="68"/>
      <c r="L40" s="24"/>
      <c r="M40" s="11"/>
      <c r="N40" s="18"/>
      <c r="O40" s="68"/>
    </row>
    <row r="41" spans="1:15" ht="12.75">
      <c r="A41" s="18" t="s">
        <v>112</v>
      </c>
      <c r="B41" s="24"/>
      <c r="C41" s="18"/>
      <c r="D41" s="24"/>
      <c r="E41" s="18"/>
      <c r="F41" s="11"/>
      <c r="G41" s="79"/>
      <c r="H41" s="24"/>
      <c r="I41" s="11"/>
      <c r="J41" s="18"/>
      <c r="K41" s="68"/>
      <c r="L41" s="24"/>
      <c r="M41" s="11"/>
      <c r="N41" s="18"/>
      <c r="O41" s="68"/>
    </row>
    <row r="42" spans="1:15" ht="12.75">
      <c r="A42" s="18" t="s">
        <v>113</v>
      </c>
      <c r="B42" s="24"/>
      <c r="C42" s="18"/>
      <c r="D42" s="24"/>
      <c r="E42" s="18"/>
      <c r="F42" s="11"/>
      <c r="G42" s="79"/>
      <c r="H42" s="24"/>
      <c r="I42" s="11"/>
      <c r="J42" s="18"/>
      <c r="K42" s="68"/>
      <c r="L42" s="24"/>
      <c r="M42" s="11"/>
      <c r="N42" s="18"/>
      <c r="O42" s="68"/>
    </row>
    <row r="43" spans="1:15" ht="12.75">
      <c r="A43" s="18" t="s">
        <v>183</v>
      </c>
      <c r="B43" s="24"/>
      <c r="C43" s="18"/>
      <c r="D43" s="24">
        <v>0.46</v>
      </c>
      <c r="E43" s="18">
        <v>0.388</v>
      </c>
      <c r="F43" s="11">
        <v>1.08</v>
      </c>
      <c r="G43" s="79">
        <v>0.958</v>
      </c>
      <c r="H43" s="24">
        <v>0.473</v>
      </c>
      <c r="I43" s="11">
        <v>1.892</v>
      </c>
      <c r="J43" s="18">
        <v>2.017</v>
      </c>
      <c r="K43" s="68">
        <v>8.067</v>
      </c>
      <c r="L43" s="24"/>
      <c r="M43" s="11"/>
      <c r="N43" s="18"/>
      <c r="O43" s="68"/>
    </row>
    <row r="44" spans="1:15" ht="12.75">
      <c r="A44" s="18" t="s">
        <v>114</v>
      </c>
      <c r="B44" s="24"/>
      <c r="C44" s="18"/>
      <c r="D44" s="24"/>
      <c r="E44" s="18"/>
      <c r="F44" s="11"/>
      <c r="G44" s="79"/>
      <c r="H44" s="24"/>
      <c r="I44" s="11"/>
      <c r="J44" s="18"/>
      <c r="K44" s="68"/>
      <c r="L44" s="24"/>
      <c r="M44" s="11"/>
      <c r="N44" s="18"/>
      <c r="O44" s="68"/>
    </row>
    <row r="45" spans="1:15" ht="12.75">
      <c r="A45" s="18" t="s">
        <v>115</v>
      </c>
      <c r="B45" s="24"/>
      <c r="C45" s="18"/>
      <c r="D45" s="24"/>
      <c r="E45" s="18"/>
      <c r="F45" s="11"/>
      <c r="G45" s="79"/>
      <c r="H45" s="24"/>
      <c r="I45" s="11"/>
      <c r="J45" s="18"/>
      <c r="K45" s="68"/>
      <c r="L45" s="24"/>
      <c r="M45" s="11"/>
      <c r="N45" s="18"/>
      <c r="O45" s="68"/>
    </row>
    <row r="46" spans="1:15" ht="12.75">
      <c r="A46" s="18" t="s">
        <v>20</v>
      </c>
      <c r="B46" s="24"/>
      <c r="C46" s="18"/>
      <c r="D46" s="24"/>
      <c r="E46" s="18"/>
      <c r="F46" s="11"/>
      <c r="G46" s="79"/>
      <c r="H46" s="24"/>
      <c r="I46" s="11"/>
      <c r="J46" s="18"/>
      <c r="K46" s="68"/>
      <c r="L46" s="24"/>
      <c r="M46" s="11"/>
      <c r="N46" s="18"/>
      <c r="O46" s="68"/>
    </row>
    <row r="47" spans="1:15" ht="12.75">
      <c r="A47" s="18" t="s">
        <v>184</v>
      </c>
      <c r="B47" s="24"/>
      <c r="C47" s="18"/>
      <c r="D47" s="24">
        <v>0.737</v>
      </c>
      <c r="E47" s="18">
        <v>0.624</v>
      </c>
      <c r="F47" s="11">
        <v>1.785</v>
      </c>
      <c r="G47" s="79">
        <v>1.587</v>
      </c>
      <c r="H47" s="24">
        <v>1</v>
      </c>
      <c r="I47" s="11">
        <v>3.999</v>
      </c>
      <c r="J47" s="18">
        <v>4.262</v>
      </c>
      <c r="K47" s="68">
        <v>17.05</v>
      </c>
      <c r="L47" s="24"/>
      <c r="M47" s="11"/>
      <c r="N47" s="18"/>
      <c r="O47" s="68"/>
    </row>
    <row r="48" spans="1:15" s="6" customFormat="1" ht="12.75">
      <c r="A48" s="17" t="s">
        <v>185</v>
      </c>
      <c r="B48" s="23"/>
      <c r="C48" s="17"/>
      <c r="D48" s="23">
        <v>0.189</v>
      </c>
      <c r="E48" s="17">
        <v>0.158</v>
      </c>
      <c r="F48" s="10">
        <v>0.479</v>
      </c>
      <c r="G48" s="78">
        <v>0.421</v>
      </c>
      <c r="H48" s="23">
        <v>0.024</v>
      </c>
      <c r="I48" s="10">
        <v>0.097</v>
      </c>
      <c r="J48" s="17">
        <v>0.102</v>
      </c>
      <c r="K48" s="69">
        <v>0.412</v>
      </c>
      <c r="L48" s="23"/>
      <c r="M48" s="10"/>
      <c r="N48" s="17"/>
      <c r="O48" s="69"/>
    </row>
    <row r="49" spans="1:15" ht="12.75">
      <c r="A49" s="18" t="s">
        <v>186</v>
      </c>
      <c r="B49" s="24"/>
      <c r="C49" s="18"/>
      <c r="D49" s="24"/>
      <c r="E49" s="18"/>
      <c r="F49" s="11"/>
      <c r="G49" s="79"/>
      <c r="H49" s="24"/>
      <c r="I49" s="11"/>
      <c r="J49" s="18"/>
      <c r="K49" s="68"/>
      <c r="L49" s="24"/>
      <c r="M49" s="11"/>
      <c r="N49" s="18"/>
      <c r="O49" s="68"/>
    </row>
    <row r="50" spans="1:15" ht="12.75">
      <c r="A50" s="18" t="s">
        <v>187</v>
      </c>
      <c r="B50" s="24"/>
      <c r="C50" s="18"/>
      <c r="D50" s="24"/>
      <c r="E50" s="18"/>
      <c r="F50" s="11"/>
      <c r="G50" s="79"/>
      <c r="H50" s="24"/>
      <c r="I50" s="11"/>
      <c r="J50" s="18"/>
      <c r="K50" s="68"/>
      <c r="L50" s="24"/>
      <c r="M50" s="80"/>
      <c r="N50" s="18"/>
      <c r="O50" s="68"/>
    </row>
    <row r="51" spans="1:15" s="6" customFormat="1" ht="12.75">
      <c r="A51" s="17" t="s">
        <v>188</v>
      </c>
      <c r="B51" s="23"/>
      <c r="C51" s="17"/>
      <c r="D51" s="23"/>
      <c r="E51" s="17"/>
      <c r="F51" s="10"/>
      <c r="G51" s="78"/>
      <c r="H51" s="23"/>
      <c r="I51" s="10"/>
      <c r="J51" s="17"/>
      <c r="K51" s="69"/>
      <c r="L51" s="6">
        <v>1.353</v>
      </c>
      <c r="M51" s="10">
        <v>0.062</v>
      </c>
      <c r="N51" s="6">
        <v>5.822</v>
      </c>
      <c r="O51" s="69">
        <f>SUM(L51:N51)</f>
        <v>7.237</v>
      </c>
    </row>
    <row r="52" spans="1:15" ht="12.75">
      <c r="A52" s="18" t="s">
        <v>189</v>
      </c>
      <c r="B52" s="24"/>
      <c r="C52" s="18"/>
      <c r="D52" s="24">
        <v>0.951</v>
      </c>
      <c r="E52" s="18">
        <v>0.801</v>
      </c>
      <c r="F52" s="11">
        <v>2.181</v>
      </c>
      <c r="G52" s="79">
        <v>1.928</v>
      </c>
      <c r="H52" s="24">
        <v>1.901</v>
      </c>
      <c r="I52" s="11">
        <v>7.605</v>
      </c>
      <c r="J52" s="18">
        <v>8.106</v>
      </c>
      <c r="K52" s="68">
        <v>32.424</v>
      </c>
      <c r="L52" s="24"/>
      <c r="M52" s="110"/>
      <c r="N52" s="18"/>
      <c r="O52" s="68"/>
    </row>
    <row r="53" spans="1:15" ht="12.75">
      <c r="A53" s="18" t="s">
        <v>193</v>
      </c>
      <c r="B53" s="24"/>
      <c r="C53" s="18"/>
      <c r="D53" s="24"/>
      <c r="E53" s="18"/>
      <c r="F53" s="11"/>
      <c r="G53" s="79"/>
      <c r="H53" s="24"/>
      <c r="I53" s="11"/>
      <c r="J53" s="18"/>
      <c r="K53" s="68"/>
      <c r="L53" s="24"/>
      <c r="M53" s="11"/>
      <c r="N53" s="18"/>
      <c r="O53" s="68"/>
    </row>
    <row r="54" spans="1:15" ht="12.75">
      <c r="A54" s="18" t="s">
        <v>61</v>
      </c>
      <c r="B54" s="24"/>
      <c r="C54" s="18"/>
      <c r="D54" s="24"/>
      <c r="E54" s="18"/>
      <c r="F54" s="11"/>
      <c r="G54" s="79"/>
      <c r="H54" s="24"/>
      <c r="I54" s="11"/>
      <c r="J54" s="18"/>
      <c r="K54" s="68"/>
      <c r="L54" s="24"/>
      <c r="M54" s="11"/>
      <c r="N54" s="18"/>
      <c r="O54" s="68"/>
    </row>
    <row r="55" spans="1:15" ht="12.75">
      <c r="A55" s="18" t="s">
        <v>62</v>
      </c>
      <c r="B55" s="24"/>
      <c r="C55" s="18"/>
      <c r="D55" s="24"/>
      <c r="E55" s="18"/>
      <c r="F55" s="11"/>
      <c r="G55" s="79"/>
      <c r="H55" s="24"/>
      <c r="I55" s="11"/>
      <c r="J55" s="18"/>
      <c r="K55" s="68"/>
      <c r="L55" s="24"/>
      <c r="M55" s="11"/>
      <c r="N55" s="18"/>
      <c r="O55" s="68"/>
    </row>
    <row r="56" spans="1:15" ht="12.75">
      <c r="A56" s="18" t="s">
        <v>217</v>
      </c>
      <c r="B56" s="24"/>
      <c r="C56" s="18"/>
      <c r="D56" s="24"/>
      <c r="E56" s="18"/>
      <c r="F56" s="11"/>
      <c r="G56" s="79"/>
      <c r="H56" s="24"/>
      <c r="I56" s="11"/>
      <c r="J56" s="18"/>
      <c r="K56" s="68"/>
      <c r="L56" s="24"/>
      <c r="M56" s="11"/>
      <c r="N56" s="18"/>
      <c r="O56" s="68"/>
    </row>
    <row r="57" spans="1:15" ht="12.75">
      <c r="A57" s="18" t="s">
        <v>190</v>
      </c>
      <c r="B57" s="24"/>
      <c r="C57" s="18"/>
      <c r="D57" s="24">
        <v>0.68</v>
      </c>
      <c r="E57" s="18">
        <v>0.573</v>
      </c>
      <c r="F57" s="11">
        <v>1.597</v>
      </c>
      <c r="G57" s="79">
        <v>1.414</v>
      </c>
      <c r="H57" s="24">
        <v>0.405</v>
      </c>
      <c r="I57" s="11">
        <v>1.62</v>
      </c>
      <c r="J57" s="18">
        <v>1.726</v>
      </c>
      <c r="K57" s="68">
        <v>6.906</v>
      </c>
      <c r="L57" s="24"/>
      <c r="M57" s="11"/>
      <c r="N57" s="18"/>
      <c r="O57" s="68"/>
    </row>
    <row r="58" spans="1:15" ht="12.75">
      <c r="A58" s="18" t="s">
        <v>218</v>
      </c>
      <c r="B58" s="24"/>
      <c r="C58" s="18"/>
      <c r="D58" s="24"/>
      <c r="E58" s="18"/>
      <c r="F58" s="11"/>
      <c r="G58" s="79"/>
      <c r="H58" s="24"/>
      <c r="I58" s="11"/>
      <c r="J58" s="18"/>
      <c r="K58" s="68"/>
      <c r="L58" s="24"/>
      <c r="M58" s="11"/>
      <c r="N58" s="18"/>
      <c r="O58" s="68"/>
    </row>
    <row r="59" spans="1:15" ht="12.75">
      <c r="A59" s="18" t="s">
        <v>219</v>
      </c>
      <c r="B59" s="24"/>
      <c r="C59" s="18"/>
      <c r="D59" s="24"/>
      <c r="E59" s="18"/>
      <c r="F59" s="11"/>
      <c r="G59" s="79"/>
      <c r="H59" s="24"/>
      <c r="I59" s="11"/>
      <c r="J59" s="18"/>
      <c r="K59" s="68"/>
      <c r="L59" s="24"/>
      <c r="M59" s="11"/>
      <c r="N59" s="18"/>
      <c r="O59" s="68"/>
    </row>
    <row r="60" spans="1:15" ht="12.75">
      <c r="A60" s="18" t="s">
        <v>191</v>
      </c>
      <c r="B60" s="24"/>
      <c r="C60" s="18"/>
      <c r="D60" s="24">
        <v>0.612</v>
      </c>
      <c r="E60" s="18">
        <v>0.528</v>
      </c>
      <c r="F60" s="11">
        <v>1.319</v>
      </c>
      <c r="G60" s="79">
        <v>1.197</v>
      </c>
      <c r="H60" s="24">
        <v>0.022</v>
      </c>
      <c r="I60" s="11">
        <v>0.087</v>
      </c>
      <c r="J60" s="18">
        <v>0.092</v>
      </c>
      <c r="K60" s="68">
        <v>0.371</v>
      </c>
      <c r="L60" s="24"/>
      <c r="M60" s="11"/>
      <c r="N60" s="18"/>
      <c r="O60" s="68"/>
    </row>
    <row r="61" spans="1:15" ht="13.5" thickBot="1">
      <c r="A61" s="35" t="s">
        <v>192</v>
      </c>
      <c r="B61" s="25"/>
      <c r="C61" s="35"/>
      <c r="D61" s="83">
        <v>0.072</v>
      </c>
      <c r="E61" s="82">
        <v>0.06</v>
      </c>
      <c r="F61" s="80">
        <v>0.171</v>
      </c>
      <c r="G61" s="84">
        <v>0.153</v>
      </c>
      <c r="H61" s="25">
        <v>0.066</v>
      </c>
      <c r="I61" s="26">
        <v>0.264</v>
      </c>
      <c r="J61" s="35">
        <v>0.282</v>
      </c>
      <c r="K61" s="27">
        <v>1.127</v>
      </c>
      <c r="L61" s="25"/>
      <c r="M61" s="26"/>
      <c r="N61" s="35"/>
      <c r="O61" s="27"/>
    </row>
    <row r="62" spans="1:7" ht="13.5" thickBot="1">
      <c r="A62" s="67" t="s">
        <v>82</v>
      </c>
      <c r="B62" s="88">
        <f>B37*85/100</f>
        <v>9.35</v>
      </c>
      <c r="C62" s="87">
        <f>C37*85/100</f>
        <v>7.65</v>
      </c>
      <c r="D62" s="81">
        <v>2.4</v>
      </c>
      <c r="E62" s="85">
        <v>2</v>
      </c>
      <c r="F62" s="86">
        <v>5</v>
      </c>
      <c r="G62" s="87">
        <v>4.6</v>
      </c>
    </row>
    <row r="63" spans="1:3" ht="12.75">
      <c r="A63" s="67"/>
      <c r="B63" s="5"/>
      <c r="C63" s="5"/>
    </row>
    <row r="64" ht="12.75" customHeight="1"/>
  </sheetData>
  <mergeCells count="1">
    <mergeCell ref="A1:I1"/>
  </mergeCells>
  <printOptions/>
  <pageMargins left="0.75" right="0.75" top="1" bottom="1" header="0.5" footer="0.5"/>
  <pageSetup orientation="portrait" paperSize="9"/>
  <legacyDrawing r:id="rId2"/>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8515625" defaultRowHeight="12.75"/>
  <cols>
    <col min="1" max="16384" width="11.421875" style="0" customWidth="1"/>
  </cols>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WWF-NL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DPols</dc:creator>
  <cp:keywords/>
  <dc:description/>
  <cp:lastModifiedBy>DPols</cp:lastModifiedBy>
  <cp:lastPrinted>2008-07-17T12:41:19Z</cp:lastPrinted>
  <dcterms:created xsi:type="dcterms:W3CDTF">2008-03-29T17:10:05Z</dcterms:created>
  <dcterms:modified xsi:type="dcterms:W3CDTF">2008-08-14T11:34:38Z</dcterms:modified>
  <cp:category/>
  <cp:version/>
  <cp:contentType/>
  <cp:contentStatus/>
</cp:coreProperties>
</file>